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hidePivotFieldList="1"/>
  <xr:revisionPtr revIDLastSave="0" documentId="13_ncr:1_{1FF96896-5F42-4110-8AEF-39E711B735D0}" xr6:coauthVersionLast="47" xr6:coauthVersionMax="47" xr10:uidLastSave="{00000000-0000-0000-0000-000000000000}"/>
  <bookViews>
    <workbookView xWindow="-120" yWindow="-120" windowWidth="29040" windowHeight="15720" tabRatio="915" activeTab="2" xr2:uid="{00000000-000D-0000-FFFF-FFFF00000000}"/>
  </bookViews>
  <sheets>
    <sheet name="生涯計画" sheetId="1" r:id="rId1"/>
    <sheet name="年間予定" sheetId="3" r:id="rId2"/>
    <sheet name="2025年予実" sheetId="6" r:id="rId3"/>
    <sheet name="消費01" sheetId="60" r:id="rId4"/>
    <sheet name="消費02" sheetId="63" r:id="rId5"/>
    <sheet name="消費03" sheetId="64" r:id="rId6"/>
    <sheet name="消費04" sheetId="65" r:id="rId7"/>
    <sheet name="消費05" sheetId="66" r:id="rId8"/>
    <sheet name="消費06" sheetId="67" r:id="rId9"/>
    <sheet name="消費07" sheetId="69" r:id="rId10"/>
    <sheet name="消費08" sheetId="70" r:id="rId11"/>
    <sheet name="消費09" sheetId="72" r:id="rId12"/>
    <sheet name="消費10" sheetId="73" r:id="rId13"/>
    <sheet name="消費11" sheetId="74" r:id="rId14"/>
    <sheet name="消費12" sheetId="75" r:id="rId15"/>
  </sheets>
  <definedNames>
    <definedName name="_xlnm._FilterDatabase" localSheetId="3" hidden="1">消費01!$A$2:$E$55</definedName>
    <definedName name="_xlnm._FilterDatabase" localSheetId="4" hidden="1">消費02!$A$2:$E$71</definedName>
    <definedName name="_xlnm._FilterDatabase" localSheetId="6" hidden="1">消費04!$A$2:$E$76</definedName>
    <definedName name="_xlnm._FilterDatabase" localSheetId="7" hidden="1">消費05!$A$2:$E$99</definedName>
    <definedName name="_xlnm._FilterDatabase" localSheetId="8" hidden="1">消費06!$A$2:$E$78</definedName>
    <definedName name="_xlnm._FilterDatabase" localSheetId="9" hidden="1">消費07!$A$2:$E$73</definedName>
    <definedName name="_xlnm._FilterDatabase" localSheetId="10" hidden="1">消費08!$A$2:$E$73</definedName>
    <definedName name="_xlnm._FilterDatabase" localSheetId="11" hidden="1">消費09!$A$2:$E$79</definedName>
    <definedName name="_xlnm._FilterDatabase" localSheetId="12" hidden="1">消費10!$A$2:$E$86</definedName>
    <definedName name="_xlnm._FilterDatabase" localSheetId="13" hidden="1">消費11!$A$2:$E$77</definedName>
    <definedName name="_xlnm._FilterDatabase" localSheetId="14" hidden="1">消費12!$A$2:$E$73</definedName>
    <definedName name="_xlnm._FilterDatabase" localSheetId="0" hidden="1">生涯計画!$A$2:$AA$27</definedName>
    <definedName name="_xlnm._FilterDatabase" localSheetId="1" hidden="1">年間予定!$T$2:$Z$213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6" l="1"/>
  <c r="C26" i="6"/>
  <c r="E26" i="6"/>
  <c r="D73" i="3"/>
  <c r="F17" i="1"/>
  <c r="U17" i="1"/>
  <c r="V17" i="1"/>
  <c r="W17" i="1"/>
  <c r="X17" i="1"/>
  <c r="U18" i="1"/>
  <c r="V18" i="1"/>
  <c r="W18" i="1"/>
  <c r="X18" i="1"/>
  <c r="D57" i="3"/>
  <c r="J65" i="3" l="1"/>
  <c r="I65" i="3"/>
  <c r="H65" i="3"/>
  <c r="G65" i="3"/>
  <c r="F65" i="3"/>
  <c r="E65" i="3"/>
  <c r="D65" i="3"/>
  <c r="O23" i="1" l="1"/>
  <c r="D26" i="3"/>
  <c r="U25" i="3"/>
  <c r="U66" i="3"/>
  <c r="U6" i="3" l="1"/>
  <c r="C28" i="70" l="1"/>
  <c r="AD10" i="6"/>
  <c r="AA10" i="6"/>
  <c r="X10" i="6"/>
  <c r="U69" i="3"/>
  <c r="U74" i="3"/>
  <c r="C71" i="69" l="1"/>
  <c r="U73" i="3"/>
  <c r="U72" i="3"/>
  <c r="C40" i="69" l="1"/>
  <c r="G4" i="6"/>
  <c r="G3" i="6"/>
  <c r="D4" i="6"/>
  <c r="D3" i="6"/>
  <c r="C36" i="69" l="1"/>
  <c r="U71" i="3"/>
  <c r="U70" i="3"/>
  <c r="C33" i="69"/>
  <c r="C32" i="69"/>
  <c r="C25" i="69"/>
  <c r="C22" i="69"/>
  <c r="U67" i="3"/>
  <c r="U68" i="3"/>
  <c r="C17" i="69"/>
  <c r="U64" i="3"/>
  <c r="U59" i="3"/>
  <c r="U60" i="3"/>
  <c r="U61" i="3"/>
  <c r="U62" i="3"/>
  <c r="U63" i="3"/>
  <c r="U65" i="3"/>
  <c r="U52" i="3"/>
  <c r="U43" i="3"/>
  <c r="U15" i="3"/>
  <c r="U3" i="3"/>
  <c r="U56" i="3"/>
  <c r="U57" i="3"/>
  <c r="U58" i="3"/>
  <c r="AD24" i="3"/>
  <c r="C12" i="69"/>
  <c r="C10" i="69"/>
  <c r="C61" i="67" l="1"/>
  <c r="C54" i="67"/>
  <c r="C53" i="67"/>
  <c r="C46" i="67"/>
  <c r="C44" i="67"/>
  <c r="C42" i="67"/>
  <c r="C33" i="67"/>
  <c r="C32" i="67"/>
  <c r="U55" i="3" l="1"/>
  <c r="U54" i="3"/>
  <c r="C25" i="67"/>
  <c r="C22" i="67" l="1"/>
  <c r="H20" i="66"/>
  <c r="H21" i="66"/>
  <c r="H22" i="66"/>
  <c r="H23" i="66"/>
  <c r="H26" i="66"/>
  <c r="H27" i="66"/>
  <c r="H28" i="66"/>
  <c r="H29" i="66"/>
  <c r="H30" i="66"/>
  <c r="H31" i="66"/>
  <c r="H32" i="66"/>
  <c r="H33" i="66"/>
  <c r="U29" i="3"/>
  <c r="C16" i="67"/>
  <c r="C13" i="67"/>
  <c r="U50" i="3"/>
  <c r="U51" i="3"/>
  <c r="U53" i="3"/>
  <c r="C77" i="66" l="1"/>
  <c r="H25" i="66" s="1"/>
  <c r="C73" i="66"/>
  <c r="H24" i="66" s="1"/>
  <c r="Z23" i="1"/>
  <c r="Y23" i="1"/>
  <c r="X23" i="1"/>
  <c r="W23" i="1"/>
  <c r="V23" i="1"/>
  <c r="U23" i="1"/>
  <c r="T23" i="1"/>
  <c r="S23" i="1"/>
  <c r="R23" i="1"/>
  <c r="Q23" i="1"/>
  <c r="P23" i="1"/>
  <c r="C66" i="66" l="1"/>
  <c r="U47" i="3"/>
  <c r="C61" i="65"/>
  <c r="C46" i="66"/>
  <c r="U49" i="3"/>
  <c r="C34" i="66" l="1"/>
  <c r="C31" i="66"/>
  <c r="U48" i="3" l="1"/>
  <c r="U40" i="3" l="1"/>
  <c r="W34" i="3" l="1"/>
  <c r="U34" i="3"/>
  <c r="U46" i="3"/>
  <c r="C76" i="65"/>
  <c r="U45" i="3"/>
  <c r="U32" i="3"/>
  <c r="U33" i="3"/>
  <c r="U39" i="3"/>
  <c r="U44" i="3" l="1"/>
  <c r="C47" i="65"/>
  <c r="D29" i="3"/>
  <c r="D5" i="3" s="1"/>
  <c r="F29" i="3"/>
  <c r="F5" i="3" s="1"/>
  <c r="E29" i="3"/>
  <c r="E5" i="3" s="1"/>
  <c r="N5" i="3"/>
  <c r="O5" i="3"/>
  <c r="G5" i="3"/>
  <c r="H5" i="3"/>
  <c r="I5" i="3"/>
  <c r="J5" i="3"/>
  <c r="K5" i="3"/>
  <c r="L5" i="3"/>
  <c r="M5" i="3"/>
  <c r="U42" i="3"/>
  <c r="U41" i="3"/>
  <c r="C23" i="65"/>
  <c r="U38" i="3" l="1"/>
  <c r="C88" i="64"/>
  <c r="U37" i="3"/>
  <c r="U36" i="3"/>
  <c r="U35" i="3"/>
  <c r="C83" i="64"/>
  <c r="C68" i="64" l="1"/>
  <c r="C65" i="64"/>
  <c r="C59" i="64"/>
  <c r="C47" i="64"/>
  <c r="U30" i="3"/>
  <c r="U31" i="3"/>
  <c r="C53" i="64" l="1"/>
  <c r="C41" i="64"/>
  <c r="U28" i="3"/>
  <c r="U27" i="3"/>
  <c r="U26" i="3"/>
  <c r="U7" i="3"/>
  <c r="U16" i="3" l="1"/>
  <c r="C27" i="64"/>
  <c r="C22" i="64"/>
  <c r="C18" i="64"/>
  <c r="U24" i="3"/>
  <c r="U23" i="3"/>
  <c r="C54" i="63" l="1"/>
  <c r="U22" i="3"/>
  <c r="C51" i="63"/>
  <c r="U21" i="3" l="1"/>
  <c r="U20" i="3"/>
  <c r="U19" i="3"/>
  <c r="W19" i="3"/>
  <c r="U18" i="3"/>
  <c r="U17" i="3" l="1"/>
  <c r="C24" i="63" l="1"/>
  <c r="C17" i="63"/>
  <c r="U14" i="3" l="1"/>
  <c r="U13" i="3" l="1"/>
  <c r="U9" i="3" l="1"/>
  <c r="U12" i="3"/>
  <c r="U11" i="3"/>
  <c r="C16" i="6" l="1"/>
  <c r="C20" i="6" s="1"/>
  <c r="C22" i="6" s="1"/>
  <c r="C47" i="60"/>
  <c r="U8" i="3"/>
  <c r="U10" i="3"/>
  <c r="H11" i="1" l="1"/>
  <c r="I11" i="1" s="1"/>
  <c r="J11" i="1" s="1"/>
  <c r="K11" i="1" s="1"/>
  <c r="L11" i="1" s="1"/>
  <c r="AK3" i="3" l="1"/>
  <c r="C28" i="60" l="1"/>
  <c r="U5" i="3" l="1"/>
  <c r="U4" i="3"/>
  <c r="C17" i="60" l="1"/>
  <c r="C9" i="65"/>
  <c r="C9" i="66"/>
  <c r="C9" i="67"/>
  <c r="C9" i="69"/>
  <c r="C5" i="67"/>
  <c r="C5" i="66"/>
  <c r="C5" i="65"/>
  <c r="C10" i="64"/>
  <c r="C5" i="64"/>
  <c r="AC3" i="6" l="1"/>
  <c r="C14" i="60"/>
  <c r="C25" i="1"/>
  <c r="D16" i="1"/>
  <c r="D25" i="1" s="1"/>
  <c r="G15" i="1"/>
  <c r="F15" i="1"/>
  <c r="D15" i="1"/>
  <c r="C15" i="1"/>
  <c r="I12" i="1"/>
  <c r="J12" i="1" s="1"/>
  <c r="H15" i="1"/>
  <c r="E11" i="1"/>
  <c r="E15" i="1" s="1"/>
  <c r="K12" i="1" l="1"/>
  <c r="L12" i="1" s="1"/>
  <c r="M12" i="1" s="1"/>
  <c r="E16" i="1"/>
  <c r="E25" i="1" s="1"/>
  <c r="N12" i="1" l="1"/>
  <c r="N15" i="1" s="1"/>
  <c r="M15" i="1"/>
  <c r="F16" i="1"/>
  <c r="G16" i="1" s="1"/>
  <c r="I15" i="1"/>
  <c r="O12" i="1" l="1"/>
  <c r="O15" i="1" s="1"/>
  <c r="F25" i="1"/>
  <c r="G25" i="1"/>
  <c r="H16" i="1"/>
  <c r="J15" i="1"/>
  <c r="P12" i="1" l="1"/>
  <c r="P15" i="1" s="1"/>
  <c r="H25" i="1"/>
  <c r="I16" i="1"/>
  <c r="L15" i="1"/>
  <c r="K15" i="1"/>
  <c r="Q12" i="1"/>
  <c r="J16" i="1" l="1"/>
  <c r="I25" i="1"/>
  <c r="R12" i="1"/>
  <c r="Q15" i="1"/>
  <c r="K16" i="1" l="1"/>
  <c r="J25" i="1"/>
  <c r="S12" i="1"/>
  <c r="R15" i="1"/>
  <c r="L16" i="1" l="1"/>
  <c r="K25" i="1"/>
  <c r="T12" i="1"/>
  <c r="S15" i="1"/>
  <c r="L25" i="1" l="1"/>
  <c r="M16" i="1"/>
  <c r="U12" i="1"/>
  <c r="T15" i="1"/>
  <c r="M25" i="1" l="1"/>
  <c r="N16" i="1"/>
  <c r="V12" i="1"/>
  <c r="U15" i="1"/>
  <c r="N25" i="1" l="1"/>
  <c r="O16" i="1"/>
  <c r="W12" i="1"/>
  <c r="V15" i="1"/>
  <c r="O25" i="1" l="1"/>
  <c r="P16" i="1"/>
  <c r="X12" i="1"/>
  <c r="W15" i="1"/>
  <c r="P25" i="1" l="1"/>
  <c r="Q16" i="1"/>
  <c r="Y12" i="1"/>
  <c r="X15" i="1"/>
  <c r="R16" i="1" l="1"/>
  <c r="Q25" i="1"/>
  <c r="Z12" i="1"/>
  <c r="Y15" i="1"/>
  <c r="R25" i="1" l="1"/>
  <c r="S16" i="1"/>
  <c r="AA12" i="1"/>
  <c r="Z15" i="1"/>
  <c r="T16" i="1" l="1"/>
  <c r="S25" i="1"/>
  <c r="AA15" i="1"/>
  <c r="U16" i="1" l="1"/>
  <c r="T25" i="1"/>
  <c r="V16" i="1" l="1"/>
  <c r="U25" i="1"/>
  <c r="V25" i="1" l="1"/>
  <c r="W16" i="1"/>
  <c r="W25" i="1" l="1"/>
  <c r="X16" i="1"/>
  <c r="X25" i="1" l="1"/>
  <c r="Y16" i="1"/>
  <c r="Z16" i="1" l="1"/>
  <c r="Y25" i="1"/>
  <c r="AA16" i="1" l="1"/>
  <c r="Z25" i="1"/>
  <c r="AA25" i="1" l="1"/>
  <c r="C52" i="60" l="1"/>
  <c r="C10" i="60"/>
  <c r="C5" i="60"/>
  <c r="C10" i="63"/>
  <c r="C5" i="63"/>
  <c r="F53" i="1" l="1"/>
  <c r="P28" i="3" l="1"/>
  <c r="O65" i="3"/>
  <c r="O26" i="3" l="1"/>
  <c r="N26" i="3" l="1"/>
  <c r="M26" i="3"/>
  <c r="AQ21" i="6"/>
  <c r="AS21" i="6" s="1"/>
  <c r="AQ17" i="6"/>
  <c r="AS17" i="6" s="1"/>
  <c r="AQ15" i="6"/>
  <c r="AS15" i="6" s="1"/>
  <c r="AQ14" i="6"/>
  <c r="AS14" i="6" s="1"/>
  <c r="AQ13" i="6"/>
  <c r="AS13" i="6" s="1"/>
  <c r="AQ12" i="6"/>
  <c r="AS12" i="6" s="1"/>
  <c r="AQ11" i="6"/>
  <c r="AS11" i="6" s="1"/>
  <c r="AQ10" i="6"/>
  <c r="AS10" i="6" s="1"/>
  <c r="AQ9" i="6"/>
  <c r="AS9" i="6" s="1"/>
  <c r="AQ8" i="6"/>
  <c r="AS8" i="6" s="1"/>
  <c r="AQ7" i="6"/>
  <c r="AQ18" i="6"/>
  <c r="H33" i="75"/>
  <c r="H32" i="75"/>
  <c r="H31" i="75"/>
  <c r="H30" i="75"/>
  <c r="H29" i="75"/>
  <c r="H28" i="75"/>
  <c r="H26" i="75"/>
  <c r="H25" i="75"/>
  <c r="H24" i="75"/>
  <c r="H23" i="75"/>
  <c r="H22" i="75"/>
  <c r="H21" i="75"/>
  <c r="H20" i="75"/>
  <c r="H19" i="75"/>
  <c r="H18" i="75"/>
  <c r="H17" i="75"/>
  <c r="H16" i="75"/>
  <c r="H15" i="75"/>
  <c r="H14" i="75"/>
  <c r="H13" i="75"/>
  <c r="H12" i="75"/>
  <c r="H11" i="75"/>
  <c r="H10" i="75"/>
  <c r="C10" i="75"/>
  <c r="AQ19" i="6" s="1"/>
  <c r="AS19" i="6" s="1"/>
  <c r="H9" i="75"/>
  <c r="H8" i="75"/>
  <c r="H7" i="75"/>
  <c r="H6" i="75"/>
  <c r="H5" i="75"/>
  <c r="C5" i="75"/>
  <c r="AQ6" i="6" s="1"/>
  <c r="H4" i="75"/>
  <c r="AQ5" i="6"/>
  <c r="AS4" i="6"/>
  <c r="AR4" i="6"/>
  <c r="AS3" i="6"/>
  <c r="AR3" i="6"/>
  <c r="O48" i="3" l="1"/>
  <c r="AS6" i="6"/>
  <c r="O59" i="3"/>
  <c r="AS18" i="6"/>
  <c r="O49" i="3"/>
  <c r="AS7" i="6"/>
  <c r="O54" i="3"/>
  <c r="AR19" i="6"/>
  <c r="O60" i="3"/>
  <c r="AR14" i="6"/>
  <c r="O55" i="3"/>
  <c r="O56" i="3"/>
  <c r="O58" i="3"/>
  <c r="O50" i="3"/>
  <c r="O51" i="3"/>
  <c r="AR10" i="6"/>
  <c r="O52" i="3"/>
  <c r="AR11" i="6"/>
  <c r="O53" i="3"/>
  <c r="H27" i="75"/>
  <c r="M65" i="3"/>
  <c r="N65" i="3"/>
  <c r="H3" i="75"/>
  <c r="C1" i="75"/>
  <c r="AR18" i="6"/>
  <c r="AQ16" i="6"/>
  <c r="AR15" i="6"/>
  <c r="AR7" i="6"/>
  <c r="AR13" i="6"/>
  <c r="AR8" i="6"/>
  <c r="AR6" i="6"/>
  <c r="AR9" i="6"/>
  <c r="AR17" i="6"/>
  <c r="AR12" i="6"/>
  <c r="AR21" i="6"/>
  <c r="O57" i="3" l="1"/>
  <c r="H1" i="75"/>
  <c r="AQ20" i="6"/>
  <c r="AN21" i="6"/>
  <c r="AP21" i="6" s="1"/>
  <c r="AN17" i="6"/>
  <c r="AN15" i="6"/>
  <c r="AN14" i="6"/>
  <c r="AN13" i="6"/>
  <c r="AP13" i="6" s="1"/>
  <c r="AN12" i="6"/>
  <c r="AN11" i="6"/>
  <c r="AP11" i="6" s="1"/>
  <c r="AN10" i="6"/>
  <c r="AN9" i="6"/>
  <c r="AN8" i="6"/>
  <c r="AN7" i="6"/>
  <c r="AN18" i="6"/>
  <c r="H33" i="74"/>
  <c r="H32" i="74"/>
  <c r="H31" i="74"/>
  <c r="H30" i="74"/>
  <c r="H29" i="74"/>
  <c r="H28" i="74"/>
  <c r="H26" i="74"/>
  <c r="H25" i="74"/>
  <c r="H24" i="74"/>
  <c r="H23" i="74"/>
  <c r="H22" i="74"/>
  <c r="H21" i="74"/>
  <c r="H20" i="74"/>
  <c r="H19" i="74"/>
  <c r="H18" i="74"/>
  <c r="H17" i="74"/>
  <c r="H16" i="74"/>
  <c r="H15" i="74"/>
  <c r="H14" i="74"/>
  <c r="H13" i="74"/>
  <c r="H12" i="74"/>
  <c r="H11" i="74"/>
  <c r="H10" i="74"/>
  <c r="C10" i="74"/>
  <c r="AN19" i="6" s="1"/>
  <c r="H9" i="74"/>
  <c r="H8" i="74"/>
  <c r="H7" i="74"/>
  <c r="H6" i="74"/>
  <c r="H5" i="74"/>
  <c r="C5" i="74"/>
  <c r="AN6" i="6" s="1"/>
  <c r="H4" i="74"/>
  <c r="AN5" i="6"/>
  <c r="AP4" i="6"/>
  <c r="AO4" i="6"/>
  <c r="AP3" i="6"/>
  <c r="AO3" i="6"/>
  <c r="N48" i="3" l="1"/>
  <c r="AP6" i="6"/>
  <c r="N58" i="3"/>
  <c r="AP17" i="6"/>
  <c r="N51" i="3"/>
  <c r="AP9" i="6"/>
  <c r="N52" i="3"/>
  <c r="AP10" i="6"/>
  <c r="N56" i="3"/>
  <c r="AP15" i="6"/>
  <c r="N54" i="3"/>
  <c r="AP12" i="6"/>
  <c r="N49" i="3"/>
  <c r="AP7" i="6"/>
  <c r="N60" i="3"/>
  <c r="AP19" i="6"/>
  <c r="N59" i="3"/>
  <c r="AP18" i="6"/>
  <c r="N55" i="3"/>
  <c r="AP14" i="6"/>
  <c r="AQ22" i="6"/>
  <c r="N50" i="3"/>
  <c r="AP8" i="6"/>
  <c r="N53" i="3"/>
  <c r="AO19" i="6"/>
  <c r="AO11" i="6"/>
  <c r="AO8" i="6"/>
  <c r="AO9" i="6"/>
  <c r="C1" i="74"/>
  <c r="H3" i="74"/>
  <c r="H27" i="74"/>
  <c r="AN16" i="6"/>
  <c r="AO6" i="6"/>
  <c r="AO14" i="6"/>
  <c r="AO17" i="6"/>
  <c r="AO12" i="6"/>
  <c r="AO7" i="6"/>
  <c r="AO15" i="6"/>
  <c r="AO10" i="6"/>
  <c r="AO18" i="6"/>
  <c r="AO13" i="6"/>
  <c r="AO21" i="6"/>
  <c r="N57" i="3" l="1"/>
  <c r="H1" i="74"/>
  <c r="AN20" i="6"/>
  <c r="AN22" i="6" l="1"/>
  <c r="L26" i="3"/>
  <c r="L65" i="3" l="1"/>
  <c r="AK21" i="6" l="1"/>
  <c r="AM21" i="6" s="1"/>
  <c r="AK17" i="6"/>
  <c r="AK15" i="6"/>
  <c r="AK14" i="6"/>
  <c r="AK13" i="6"/>
  <c r="AK12" i="6"/>
  <c r="AK11" i="6"/>
  <c r="AK10" i="6"/>
  <c r="AK9" i="6"/>
  <c r="AK8" i="6"/>
  <c r="AK7" i="6"/>
  <c r="AK18" i="6"/>
  <c r="H32" i="73"/>
  <c r="H31" i="73"/>
  <c r="H30" i="73"/>
  <c r="H29" i="73"/>
  <c r="H28" i="73"/>
  <c r="H26" i="73"/>
  <c r="H25" i="73"/>
  <c r="H24" i="73"/>
  <c r="H23" i="73"/>
  <c r="H22" i="73"/>
  <c r="H21" i="73"/>
  <c r="H20" i="73"/>
  <c r="H19" i="73"/>
  <c r="H18" i="73"/>
  <c r="H17" i="73"/>
  <c r="H16" i="73"/>
  <c r="H15" i="73"/>
  <c r="H14" i="73"/>
  <c r="H13" i="73"/>
  <c r="H12" i="73"/>
  <c r="H11" i="73"/>
  <c r="H10" i="73"/>
  <c r="C10" i="73"/>
  <c r="AK19" i="6" s="1"/>
  <c r="H9" i="73"/>
  <c r="H8" i="73"/>
  <c r="H7" i="73"/>
  <c r="H6" i="73"/>
  <c r="H5" i="73"/>
  <c r="C5" i="73"/>
  <c r="H4" i="73"/>
  <c r="AK5" i="6"/>
  <c r="AM4" i="6"/>
  <c r="AL4" i="6"/>
  <c r="AM3" i="6"/>
  <c r="AL3" i="6"/>
  <c r="M60" i="3" l="1"/>
  <c r="AM19" i="6"/>
  <c r="M49" i="3"/>
  <c r="AM7" i="6"/>
  <c r="M56" i="3"/>
  <c r="AM15" i="6"/>
  <c r="M59" i="3"/>
  <c r="AM18" i="6"/>
  <c r="M58" i="3"/>
  <c r="AM17" i="6"/>
  <c r="M51" i="3"/>
  <c r="AM9" i="6"/>
  <c r="M52" i="3"/>
  <c r="AM10" i="6"/>
  <c r="M53" i="3"/>
  <c r="AM11" i="6"/>
  <c r="M55" i="3"/>
  <c r="AM14" i="6"/>
  <c r="M54" i="3"/>
  <c r="AM12" i="6"/>
  <c r="AM13" i="6"/>
  <c r="M50" i="3"/>
  <c r="AM8" i="6"/>
  <c r="AL10" i="6"/>
  <c r="AL13" i="6"/>
  <c r="AL14" i="6"/>
  <c r="AL18" i="6"/>
  <c r="AL19" i="6"/>
  <c r="AL8" i="6"/>
  <c r="H27" i="73"/>
  <c r="H3" i="73"/>
  <c r="AK6" i="6"/>
  <c r="AL15" i="6"/>
  <c r="AL7" i="6"/>
  <c r="C1" i="73"/>
  <c r="AL11" i="6"/>
  <c r="AL17" i="6"/>
  <c r="AL9" i="6"/>
  <c r="AL12" i="6"/>
  <c r="AL21" i="6"/>
  <c r="M48" i="3" l="1"/>
  <c r="AM6" i="6"/>
  <c r="H1" i="73"/>
  <c r="AK16" i="6"/>
  <c r="AL6" i="6"/>
  <c r="K26" i="3"/>
  <c r="J21" i="6"/>
  <c r="L21" i="6" l="1"/>
  <c r="M57" i="3"/>
  <c r="AK20" i="6"/>
  <c r="AH21" i="6"/>
  <c r="AH17" i="6"/>
  <c r="AH15" i="6"/>
  <c r="AH14" i="6"/>
  <c r="AH13" i="6"/>
  <c r="AH12" i="6"/>
  <c r="AH11" i="6"/>
  <c r="L53" i="3" s="1"/>
  <c r="AH10" i="6"/>
  <c r="AH9" i="6"/>
  <c r="AH8" i="6"/>
  <c r="AH7" i="6"/>
  <c r="H27" i="72"/>
  <c r="H32" i="72"/>
  <c r="H31" i="72"/>
  <c r="H30" i="72"/>
  <c r="H29" i="72"/>
  <c r="H28" i="72"/>
  <c r="H26" i="72"/>
  <c r="H25" i="72"/>
  <c r="H24" i="72"/>
  <c r="H23" i="72"/>
  <c r="H22" i="72"/>
  <c r="H21" i="72"/>
  <c r="H20" i="72"/>
  <c r="H19" i="72"/>
  <c r="H18" i="72"/>
  <c r="H17" i="72"/>
  <c r="H16" i="72"/>
  <c r="H15" i="72"/>
  <c r="H14" i="72"/>
  <c r="H13" i="72"/>
  <c r="H12" i="72"/>
  <c r="H11" i="72"/>
  <c r="H10" i="72"/>
  <c r="C10" i="72"/>
  <c r="AH19" i="6" s="1"/>
  <c r="H9" i="72"/>
  <c r="H8" i="72"/>
  <c r="H7" i="72"/>
  <c r="H6" i="72"/>
  <c r="H5" i="72"/>
  <c r="C5" i="72"/>
  <c r="AH6" i="6" s="1"/>
  <c r="H4" i="72"/>
  <c r="AH5" i="6"/>
  <c r="AJ4" i="6"/>
  <c r="AI4" i="6"/>
  <c r="AJ3" i="6"/>
  <c r="AI3" i="6"/>
  <c r="C10" i="70"/>
  <c r="L52" i="3" l="1"/>
  <c r="L48" i="3"/>
  <c r="L54" i="3"/>
  <c r="L51" i="3"/>
  <c r="L60" i="3"/>
  <c r="L55" i="3"/>
  <c r="L49" i="3"/>
  <c r="L56" i="3"/>
  <c r="L50" i="3"/>
  <c r="L58" i="3"/>
  <c r="AK22" i="6"/>
  <c r="AJ10" i="6"/>
  <c r="AI11" i="6"/>
  <c r="AJ12" i="6"/>
  <c r="AJ13" i="6"/>
  <c r="AI19" i="6"/>
  <c r="AJ14" i="6"/>
  <c r="AJ7" i="6"/>
  <c r="AI15" i="6"/>
  <c r="AI6" i="6"/>
  <c r="AJ17" i="6"/>
  <c r="AJ8" i="6"/>
  <c r="AJ9" i="6"/>
  <c r="AJ21" i="6"/>
  <c r="C1" i="72"/>
  <c r="H3" i="72"/>
  <c r="AH18" i="6"/>
  <c r="AJ15" i="6"/>
  <c r="AI7" i="6"/>
  <c r="AI14" i="6"/>
  <c r="AH16" i="6"/>
  <c r="L57" i="3" s="1"/>
  <c r="AI12" i="6"/>
  <c r="AJ19" i="6"/>
  <c r="AI8" i="6"/>
  <c r="AJ11" i="6"/>
  <c r="AJ6" i="6"/>
  <c r="AI9" i="6"/>
  <c r="AI17" i="6"/>
  <c r="AI10" i="6"/>
  <c r="AI21" i="6"/>
  <c r="AI13" i="6"/>
  <c r="J26" i="3"/>
  <c r="H1" i="72" l="1"/>
  <c r="L59" i="3"/>
  <c r="AJ18" i="6"/>
  <c r="K65" i="3"/>
  <c r="AH20" i="6"/>
  <c r="AI18" i="6"/>
  <c r="J72" i="3"/>
  <c r="AE21" i="6"/>
  <c r="AE19" i="6"/>
  <c r="AE17" i="6"/>
  <c r="AE15" i="6"/>
  <c r="AE14" i="6"/>
  <c r="AE13" i="6"/>
  <c r="AE12" i="6"/>
  <c r="AE11" i="6"/>
  <c r="AE10" i="6"/>
  <c r="AE9" i="6"/>
  <c r="AE8" i="6"/>
  <c r="AE7" i="6"/>
  <c r="AB21" i="6"/>
  <c r="AB19" i="6"/>
  <c r="AB17" i="6"/>
  <c r="AB15" i="6"/>
  <c r="AB14" i="6"/>
  <c r="AB13" i="6"/>
  <c r="AB11" i="6"/>
  <c r="AB9" i="6"/>
  <c r="AB8" i="6"/>
  <c r="AB7" i="6"/>
  <c r="AE18" i="6"/>
  <c r="K59" i="3" s="1"/>
  <c r="H33" i="70"/>
  <c r="H32" i="70"/>
  <c r="H31" i="70"/>
  <c r="H30" i="70"/>
  <c r="H29" i="70"/>
  <c r="H28" i="70"/>
  <c r="H26" i="70"/>
  <c r="H25" i="70"/>
  <c r="H24" i="70"/>
  <c r="H23" i="70"/>
  <c r="H22" i="70"/>
  <c r="H21" i="70"/>
  <c r="H20" i="70"/>
  <c r="H19" i="70"/>
  <c r="H18" i="70"/>
  <c r="H17" i="70"/>
  <c r="H16" i="70"/>
  <c r="H15" i="70"/>
  <c r="H14" i="70"/>
  <c r="H13" i="70"/>
  <c r="H12" i="70"/>
  <c r="H11" i="70"/>
  <c r="H10" i="70"/>
  <c r="H9" i="70"/>
  <c r="H8" i="70"/>
  <c r="H7" i="70"/>
  <c r="H6" i="70"/>
  <c r="H5" i="70"/>
  <c r="C5" i="70"/>
  <c r="AE6" i="6" s="1"/>
  <c r="H4" i="70"/>
  <c r="AE5" i="6"/>
  <c r="AG4" i="6"/>
  <c r="AF4" i="6"/>
  <c r="AG3" i="6"/>
  <c r="AF3" i="6"/>
  <c r="J56" i="3" l="1"/>
  <c r="J58" i="3"/>
  <c r="J60" i="3"/>
  <c r="J50" i="3"/>
  <c r="J51" i="3"/>
  <c r="J53" i="3"/>
  <c r="J49" i="3"/>
  <c r="J55" i="3"/>
  <c r="K48" i="3"/>
  <c r="K49" i="3"/>
  <c r="K56" i="3"/>
  <c r="K50" i="3"/>
  <c r="K51" i="3"/>
  <c r="K60" i="3"/>
  <c r="K52" i="3"/>
  <c r="K58" i="3"/>
  <c r="K53" i="3"/>
  <c r="K54" i="3"/>
  <c r="K55" i="3"/>
  <c r="AH22" i="6"/>
  <c r="AG21" i="6"/>
  <c r="AF11" i="6"/>
  <c r="AG12" i="6"/>
  <c r="AG8" i="6"/>
  <c r="AG18" i="6"/>
  <c r="AG13" i="6"/>
  <c r="AG9" i="6"/>
  <c r="AG10" i="6"/>
  <c r="AG14" i="6"/>
  <c r="AF15" i="6"/>
  <c r="AG17" i="6"/>
  <c r="AG7" i="6"/>
  <c r="AF19" i="6"/>
  <c r="C1" i="70"/>
  <c r="H3" i="70"/>
  <c r="H27" i="70"/>
  <c r="AF8" i="6"/>
  <c r="AE16" i="6"/>
  <c r="AG19" i="6"/>
  <c r="AG11" i="6"/>
  <c r="AF14" i="6"/>
  <c r="AG6" i="6"/>
  <c r="AF9" i="6"/>
  <c r="AF17" i="6"/>
  <c r="AF12" i="6"/>
  <c r="AF21" i="6"/>
  <c r="AG15" i="6"/>
  <c r="AF18" i="6"/>
  <c r="AF6" i="6"/>
  <c r="AF7" i="6"/>
  <c r="AF10" i="6"/>
  <c r="AF13" i="6"/>
  <c r="AB12" i="6"/>
  <c r="J54" i="3" l="1"/>
  <c r="AE20" i="6"/>
  <c r="K57" i="3"/>
  <c r="H1" i="70"/>
  <c r="AB10" i="6"/>
  <c r="J52" i="3" l="1"/>
  <c r="AE22" i="6"/>
  <c r="I72" i="3"/>
  <c r="I26" i="3" l="1"/>
  <c r="H26" i="3"/>
  <c r="P63" i="3"/>
  <c r="H33" i="69" l="1"/>
  <c r="H32" i="69"/>
  <c r="H31" i="69"/>
  <c r="H30" i="69"/>
  <c r="H29" i="69"/>
  <c r="H28" i="69"/>
  <c r="H26" i="69"/>
  <c r="H25" i="69"/>
  <c r="H24" i="69"/>
  <c r="H23" i="69"/>
  <c r="H22" i="69"/>
  <c r="H21" i="69"/>
  <c r="H20" i="69"/>
  <c r="H19" i="69"/>
  <c r="H18" i="69"/>
  <c r="H17" i="69"/>
  <c r="H16" i="69"/>
  <c r="H15" i="69"/>
  <c r="H14" i="69"/>
  <c r="H13" i="69"/>
  <c r="H12" i="69"/>
  <c r="H11" i="69"/>
  <c r="H10" i="69"/>
  <c r="H9" i="69"/>
  <c r="H8" i="69"/>
  <c r="H7" i="69"/>
  <c r="H6" i="69"/>
  <c r="H5" i="69"/>
  <c r="C5" i="69"/>
  <c r="AB6" i="6" s="1"/>
  <c r="H4" i="69"/>
  <c r="AD21" i="6"/>
  <c r="AC19" i="6"/>
  <c r="AD17" i="6"/>
  <c r="AD15" i="6"/>
  <c r="AC14" i="6"/>
  <c r="AC13" i="6"/>
  <c r="AD11" i="6"/>
  <c r="AD9" i="6"/>
  <c r="AD8" i="6"/>
  <c r="AC7" i="6"/>
  <c r="AB5" i="6"/>
  <c r="AD4" i="6"/>
  <c r="AC4" i="6"/>
  <c r="AD3" i="6"/>
  <c r="J48" i="3" l="1"/>
  <c r="H27" i="69"/>
  <c r="AB18" i="6"/>
  <c r="C1" i="69"/>
  <c r="AC8" i="6"/>
  <c r="AD13" i="6"/>
  <c r="AC11" i="6"/>
  <c r="H3" i="69"/>
  <c r="AD19" i="6"/>
  <c r="AD14" i="6"/>
  <c r="AC17" i="6"/>
  <c r="AC21" i="6"/>
  <c r="AC9" i="6"/>
  <c r="AC15" i="6"/>
  <c r="AD7" i="6"/>
  <c r="J59" i="3" l="1"/>
  <c r="H1" i="69"/>
  <c r="AC10" i="6" l="1"/>
  <c r="AC12" i="6"/>
  <c r="AD12" i="6"/>
  <c r="H72" i="3" l="1"/>
  <c r="Y21" i="6" l="1"/>
  <c r="Y19" i="6"/>
  <c r="Y17" i="6"/>
  <c r="Y15" i="6"/>
  <c r="Y14" i="6"/>
  <c r="Y13" i="6"/>
  <c r="Y12" i="6"/>
  <c r="Y11" i="6"/>
  <c r="Y10" i="6"/>
  <c r="Y9" i="6"/>
  <c r="Y8" i="6"/>
  <c r="Y7" i="6"/>
  <c r="H32" i="67"/>
  <c r="H31" i="67"/>
  <c r="H30" i="67"/>
  <c r="H29" i="67"/>
  <c r="H28" i="67"/>
  <c r="H26" i="67"/>
  <c r="H25" i="67"/>
  <c r="H24" i="67"/>
  <c r="H23" i="67"/>
  <c r="H22" i="67"/>
  <c r="H21" i="67"/>
  <c r="H20" i="67"/>
  <c r="H19" i="67"/>
  <c r="H18" i="67"/>
  <c r="H17" i="67"/>
  <c r="H16" i="67"/>
  <c r="H15" i="67"/>
  <c r="H14" i="67"/>
  <c r="H13" i="67"/>
  <c r="H12" i="67"/>
  <c r="H11" i="67"/>
  <c r="H10" i="67"/>
  <c r="H9" i="67"/>
  <c r="H8" i="67"/>
  <c r="H7" i="67"/>
  <c r="H6" i="67"/>
  <c r="H5" i="67"/>
  <c r="H4" i="67"/>
  <c r="Y5" i="6"/>
  <c r="AA4" i="6"/>
  <c r="Z4" i="6"/>
  <c r="AA3" i="6"/>
  <c r="Z3" i="6"/>
  <c r="I60" i="3" l="1"/>
  <c r="AA21" i="6"/>
  <c r="I58" i="3"/>
  <c r="I54" i="3"/>
  <c r="AA8" i="6"/>
  <c r="I50" i="3"/>
  <c r="AA17" i="6"/>
  <c r="AA9" i="6"/>
  <c r="I51" i="3"/>
  <c r="Z19" i="6"/>
  <c r="I52" i="3"/>
  <c r="Z11" i="6"/>
  <c r="I53" i="3"/>
  <c r="AA13" i="6"/>
  <c r="Z14" i="6"/>
  <c r="I55" i="3"/>
  <c r="AA7" i="6"/>
  <c r="I49" i="3"/>
  <c r="Z15" i="6"/>
  <c r="I56" i="3"/>
  <c r="Y6" i="6"/>
  <c r="Y18" i="6"/>
  <c r="C1" i="67"/>
  <c r="H3" i="67"/>
  <c r="AA14" i="6"/>
  <c r="AA15" i="6"/>
  <c r="Z7" i="6"/>
  <c r="H27" i="67"/>
  <c r="Z12" i="6"/>
  <c r="AA12" i="6"/>
  <c r="AA19" i="6"/>
  <c r="Z10" i="6"/>
  <c r="Z8" i="6"/>
  <c r="Z9" i="6"/>
  <c r="Z17" i="6"/>
  <c r="AA11" i="6"/>
  <c r="Z21" i="6"/>
  <c r="Z13" i="6"/>
  <c r="G26" i="3"/>
  <c r="I59" i="3" l="1"/>
  <c r="AA18" i="6"/>
  <c r="Z6" i="6"/>
  <c r="I48" i="3"/>
  <c r="Z18" i="6"/>
  <c r="Y16" i="6"/>
  <c r="Y20" i="6" s="1"/>
  <c r="Y22" i="6" s="1"/>
  <c r="AD18" i="6"/>
  <c r="AC18" i="6"/>
  <c r="AC6" i="6"/>
  <c r="AB16" i="6"/>
  <c r="AD6" i="6"/>
  <c r="AA6" i="6"/>
  <c r="H1" i="67"/>
  <c r="G72" i="3" l="1"/>
  <c r="J57" i="3"/>
  <c r="AB20" i="6"/>
  <c r="I57" i="3"/>
  <c r="AB22" i="6" l="1"/>
  <c r="V21" i="6" l="1"/>
  <c r="V19" i="6"/>
  <c r="V17" i="6"/>
  <c r="V15" i="6"/>
  <c r="V14" i="6"/>
  <c r="V13" i="6"/>
  <c r="V12" i="6"/>
  <c r="V11" i="6"/>
  <c r="V10" i="6"/>
  <c r="V9" i="6"/>
  <c r="V8" i="6"/>
  <c r="V7" i="6"/>
  <c r="V18" i="6"/>
  <c r="H19" i="66"/>
  <c r="H18" i="66"/>
  <c r="H17" i="66"/>
  <c r="H16" i="66"/>
  <c r="H15" i="66"/>
  <c r="H14" i="66"/>
  <c r="H13" i="66"/>
  <c r="H12" i="66"/>
  <c r="H11" i="66"/>
  <c r="H10" i="66"/>
  <c r="H9" i="66"/>
  <c r="H8" i="66"/>
  <c r="H7" i="66"/>
  <c r="H6" i="66"/>
  <c r="H5" i="66"/>
  <c r="V6" i="6"/>
  <c r="H4" i="66"/>
  <c r="V5" i="6"/>
  <c r="X4" i="6"/>
  <c r="W4" i="6"/>
  <c r="X3" i="6"/>
  <c r="W3" i="6"/>
  <c r="X21" i="6" l="1"/>
  <c r="H59" i="3"/>
  <c r="X18" i="6"/>
  <c r="H49" i="3"/>
  <c r="X7" i="6"/>
  <c r="H56" i="3"/>
  <c r="X15" i="6"/>
  <c r="H58" i="3"/>
  <c r="X17" i="6"/>
  <c r="H48" i="3"/>
  <c r="X6" i="6"/>
  <c r="H52" i="3"/>
  <c r="H53" i="3"/>
  <c r="X11" i="6"/>
  <c r="H51" i="3"/>
  <c r="X9" i="6"/>
  <c r="H54" i="3"/>
  <c r="X12" i="6"/>
  <c r="H60" i="3"/>
  <c r="X19" i="6"/>
  <c r="X13" i="6"/>
  <c r="H55" i="3"/>
  <c r="X14" i="6"/>
  <c r="H50" i="3"/>
  <c r="X8" i="6"/>
  <c r="W13" i="6"/>
  <c r="W14" i="6"/>
  <c r="W9" i="6"/>
  <c r="W19" i="6"/>
  <c r="C1" i="66"/>
  <c r="H3" i="66"/>
  <c r="W15" i="6"/>
  <c r="W8" i="6"/>
  <c r="V16" i="6"/>
  <c r="W7" i="6"/>
  <c r="W17" i="6"/>
  <c r="W12" i="6"/>
  <c r="W21" i="6"/>
  <c r="W11" i="6"/>
  <c r="W6" i="6"/>
  <c r="W18" i="6"/>
  <c r="W10" i="6"/>
  <c r="H57" i="3" l="1"/>
  <c r="V20" i="6"/>
  <c r="H1" i="66"/>
  <c r="V22" i="6" l="1"/>
  <c r="F26" i="3"/>
  <c r="F72" i="3" l="1"/>
  <c r="S21" i="6" l="1"/>
  <c r="S19" i="6"/>
  <c r="S17" i="6"/>
  <c r="S15" i="6"/>
  <c r="S14" i="6"/>
  <c r="S13" i="6"/>
  <c r="S12" i="6"/>
  <c r="S11" i="6"/>
  <c r="S10" i="6"/>
  <c r="S9" i="6"/>
  <c r="S8" i="6"/>
  <c r="S7" i="6"/>
  <c r="S18" i="6"/>
  <c r="H32" i="65"/>
  <c r="H31" i="65"/>
  <c r="H30" i="65"/>
  <c r="H29" i="65"/>
  <c r="H28" i="65"/>
  <c r="H26" i="65"/>
  <c r="H25" i="65"/>
  <c r="H24" i="65"/>
  <c r="H23" i="65"/>
  <c r="H22" i="65"/>
  <c r="H21" i="65"/>
  <c r="H20" i="65"/>
  <c r="H19" i="65"/>
  <c r="H18" i="65"/>
  <c r="H17" i="65"/>
  <c r="H16" i="65"/>
  <c r="H15" i="65"/>
  <c r="H14" i="65"/>
  <c r="H13" i="65"/>
  <c r="H12" i="65"/>
  <c r="H11" i="65"/>
  <c r="H10" i="65"/>
  <c r="H9" i="65"/>
  <c r="H8" i="65"/>
  <c r="H7" i="65"/>
  <c r="H6" i="65"/>
  <c r="H5" i="65"/>
  <c r="S6" i="6"/>
  <c r="H4" i="65"/>
  <c r="S5" i="6"/>
  <c r="U4" i="6"/>
  <c r="T4" i="6"/>
  <c r="U3" i="6"/>
  <c r="T3" i="6"/>
  <c r="U14" i="6" l="1"/>
  <c r="U15" i="6"/>
  <c r="U17" i="6"/>
  <c r="U19" i="6"/>
  <c r="U18" i="6"/>
  <c r="U21" i="6"/>
  <c r="T11" i="6"/>
  <c r="G53" i="3"/>
  <c r="T12" i="6"/>
  <c r="G54" i="3"/>
  <c r="G59" i="3"/>
  <c r="U13" i="6"/>
  <c r="T7" i="6"/>
  <c r="G49" i="3"/>
  <c r="G55" i="3"/>
  <c r="G56" i="3"/>
  <c r="G58" i="3"/>
  <c r="T19" i="6"/>
  <c r="G60" i="3"/>
  <c r="U8" i="6"/>
  <c r="G50" i="3"/>
  <c r="G48" i="3"/>
  <c r="U9" i="6"/>
  <c r="G51" i="3"/>
  <c r="U10" i="6"/>
  <c r="G52" i="3"/>
  <c r="H27" i="65"/>
  <c r="T13" i="6"/>
  <c r="T17" i="6"/>
  <c r="C1" i="65"/>
  <c r="H3" i="65"/>
  <c r="S16" i="6"/>
  <c r="T8" i="6"/>
  <c r="T14" i="6"/>
  <c r="U11" i="6"/>
  <c r="T21" i="6"/>
  <c r="U12" i="6"/>
  <c r="T15" i="6"/>
  <c r="U7" i="6"/>
  <c r="T10" i="6"/>
  <c r="T18" i="6"/>
  <c r="T6" i="6"/>
  <c r="U6" i="6"/>
  <c r="T9" i="6"/>
  <c r="H25" i="64"/>
  <c r="U16" i="6" l="1"/>
  <c r="S20" i="6"/>
  <c r="G57" i="3"/>
  <c r="H1" i="65"/>
  <c r="E26" i="3"/>
  <c r="U20" i="6" l="1"/>
  <c r="S22" i="6"/>
  <c r="E72" i="3" l="1"/>
  <c r="P21" i="6" l="1"/>
  <c r="P19" i="6"/>
  <c r="P17" i="6"/>
  <c r="P15" i="6"/>
  <c r="P14" i="6"/>
  <c r="P13" i="6"/>
  <c r="P12" i="6"/>
  <c r="P11" i="6"/>
  <c r="P10" i="6"/>
  <c r="P9" i="6"/>
  <c r="P8" i="6"/>
  <c r="P7" i="6"/>
  <c r="P18" i="6"/>
  <c r="H33" i="64"/>
  <c r="H32" i="64"/>
  <c r="H31" i="64"/>
  <c r="H30" i="64"/>
  <c r="H29" i="64"/>
  <c r="H28" i="64"/>
  <c r="H26" i="64"/>
  <c r="H24" i="64"/>
  <c r="H23" i="64"/>
  <c r="H22" i="64"/>
  <c r="H21" i="64"/>
  <c r="H20" i="64"/>
  <c r="H19" i="64"/>
  <c r="H18" i="64"/>
  <c r="H17" i="64"/>
  <c r="H16" i="64"/>
  <c r="H15" i="64"/>
  <c r="H14" i="64"/>
  <c r="H13" i="64"/>
  <c r="H12" i="64"/>
  <c r="H11" i="64"/>
  <c r="H10" i="64"/>
  <c r="H9" i="64"/>
  <c r="H8" i="64"/>
  <c r="H7" i="64"/>
  <c r="H6" i="64"/>
  <c r="H5" i="64"/>
  <c r="H3" i="64"/>
  <c r="H4" i="64"/>
  <c r="P5" i="6"/>
  <c r="R4" i="6"/>
  <c r="Q4" i="6"/>
  <c r="R3" i="6"/>
  <c r="Q3" i="6"/>
  <c r="G11" i="6" l="1"/>
  <c r="D11" i="6"/>
  <c r="D12" i="6"/>
  <c r="G12" i="6"/>
  <c r="G18" i="6"/>
  <c r="D18" i="6"/>
  <c r="D14" i="6"/>
  <c r="G14" i="6"/>
  <c r="G7" i="6"/>
  <c r="D7" i="6"/>
  <c r="G15" i="6"/>
  <c r="D15" i="6"/>
  <c r="D8" i="6"/>
  <c r="G8" i="6"/>
  <c r="D17" i="6"/>
  <c r="G17" i="6"/>
  <c r="G9" i="6"/>
  <c r="D9" i="6"/>
  <c r="G19" i="6"/>
  <c r="D19" i="6"/>
  <c r="G10" i="6"/>
  <c r="D10" i="6"/>
  <c r="D21" i="6"/>
  <c r="G21" i="6"/>
  <c r="G13" i="6"/>
  <c r="D13" i="6"/>
  <c r="F53" i="3"/>
  <c r="F54" i="3"/>
  <c r="F59" i="3"/>
  <c r="F55" i="3"/>
  <c r="F49" i="3"/>
  <c r="F56" i="3"/>
  <c r="F50" i="3"/>
  <c r="F58" i="3"/>
  <c r="F51" i="3"/>
  <c r="F60" i="3"/>
  <c r="F52" i="3"/>
  <c r="R14" i="6"/>
  <c r="R7" i="6"/>
  <c r="R15" i="6"/>
  <c r="Q8" i="6"/>
  <c r="R17" i="6"/>
  <c r="Q19" i="6"/>
  <c r="Q9" i="6"/>
  <c r="R10" i="6"/>
  <c r="R21" i="6"/>
  <c r="Q11" i="6"/>
  <c r="R18" i="6"/>
  <c r="R12" i="6"/>
  <c r="R13" i="6"/>
  <c r="H27" i="64"/>
  <c r="H1" i="64" s="1"/>
  <c r="C1" i="64"/>
  <c r="P6" i="6"/>
  <c r="Q13" i="6"/>
  <c r="R11" i="6"/>
  <c r="Q14" i="6"/>
  <c r="R19" i="6"/>
  <c r="Q17" i="6"/>
  <c r="Q21" i="6"/>
  <c r="R9" i="6"/>
  <c r="Q12" i="6"/>
  <c r="Q7" i="6"/>
  <c r="Q15" i="6"/>
  <c r="Q10" i="6"/>
  <c r="Q18" i="6"/>
  <c r="R8" i="6"/>
  <c r="G6" i="6" l="1"/>
  <c r="D6" i="6"/>
  <c r="F48" i="3"/>
  <c r="Q6" i="6"/>
  <c r="R6" i="6"/>
  <c r="P16" i="6"/>
  <c r="E4" i="6"/>
  <c r="E3" i="6"/>
  <c r="G16" i="6" l="1"/>
  <c r="D16" i="6"/>
  <c r="F57" i="3"/>
  <c r="P20" i="6"/>
  <c r="G20" i="6" l="1"/>
  <c r="D20" i="6"/>
  <c r="P22" i="6"/>
  <c r="M7" i="6" l="1"/>
  <c r="M8" i="6"/>
  <c r="M9" i="6"/>
  <c r="M10" i="6"/>
  <c r="M11" i="6"/>
  <c r="M12" i="6"/>
  <c r="M13" i="6"/>
  <c r="M14" i="6"/>
  <c r="M15" i="6"/>
  <c r="M17" i="6"/>
  <c r="M19" i="6"/>
  <c r="M21" i="6"/>
  <c r="M6" i="6"/>
  <c r="M5" i="6"/>
  <c r="O4" i="6"/>
  <c r="N4" i="6"/>
  <c r="O3" i="6"/>
  <c r="N3" i="6"/>
  <c r="E48" i="3" l="1"/>
  <c r="O21" i="6"/>
  <c r="N17" i="6"/>
  <c r="E58" i="3"/>
  <c r="O13" i="6"/>
  <c r="O19" i="6"/>
  <c r="E60" i="3"/>
  <c r="O12" i="6"/>
  <c r="E54" i="3"/>
  <c r="O6" i="6"/>
  <c r="O11" i="6"/>
  <c r="E53" i="3"/>
  <c r="O10" i="6"/>
  <c r="E52" i="3"/>
  <c r="N9" i="6"/>
  <c r="E51" i="3"/>
  <c r="N8" i="6"/>
  <c r="E50" i="3"/>
  <c r="N15" i="6"/>
  <c r="E56" i="3"/>
  <c r="O7" i="6"/>
  <c r="E49" i="3"/>
  <c r="O14" i="6"/>
  <c r="E55" i="3"/>
  <c r="N13" i="6"/>
  <c r="N14" i="6"/>
  <c r="N11" i="6"/>
  <c r="N19" i="6"/>
  <c r="M16" i="6"/>
  <c r="O8" i="6"/>
  <c r="O15" i="6"/>
  <c r="N6" i="6"/>
  <c r="O9" i="6"/>
  <c r="N12" i="6"/>
  <c r="O17" i="6"/>
  <c r="N21" i="6"/>
  <c r="N7" i="6"/>
  <c r="N10" i="6"/>
  <c r="E57" i="3" l="1"/>
  <c r="M18" i="6" l="1"/>
  <c r="H30" i="63"/>
  <c r="H29" i="63"/>
  <c r="H28" i="63"/>
  <c r="H26" i="63"/>
  <c r="H25" i="63"/>
  <c r="H24" i="63"/>
  <c r="H23" i="63"/>
  <c r="H22" i="63"/>
  <c r="H21" i="63"/>
  <c r="H20" i="63"/>
  <c r="H19" i="63"/>
  <c r="H18" i="63"/>
  <c r="H17" i="63"/>
  <c r="H16" i="63"/>
  <c r="H15" i="63"/>
  <c r="H14" i="63"/>
  <c r="H13" i="63"/>
  <c r="H12" i="63"/>
  <c r="H11" i="63"/>
  <c r="H10" i="63"/>
  <c r="H9" i="63"/>
  <c r="H8" i="63"/>
  <c r="H7" i="63"/>
  <c r="H6" i="63"/>
  <c r="H5" i="63"/>
  <c r="H4" i="63"/>
  <c r="H3" i="63"/>
  <c r="M20" i="6" l="1"/>
  <c r="M22" i="6" s="1"/>
  <c r="E59" i="3"/>
  <c r="C1" i="63"/>
  <c r="H27" i="63"/>
  <c r="H1" i="63" s="1"/>
  <c r="O18" i="6"/>
  <c r="N18" i="6"/>
  <c r="E21" i="6" l="1"/>
  <c r="H30" i="3"/>
  <c r="O30" i="3"/>
  <c r="G30" i="3"/>
  <c r="M30" i="3"/>
  <c r="E30" i="3"/>
  <c r="I30" i="3"/>
  <c r="I70" i="3" s="1"/>
  <c r="K30" i="3"/>
  <c r="J30" i="3"/>
  <c r="J70" i="3" s="1"/>
  <c r="F30" i="3"/>
  <c r="L30" i="3"/>
  <c r="N30" i="3"/>
  <c r="H70" i="3" l="1"/>
  <c r="G70" i="3"/>
  <c r="F70" i="3"/>
  <c r="E70" i="3"/>
  <c r="H33" i="60" l="1"/>
  <c r="J7" i="6" l="1"/>
  <c r="J8" i="6"/>
  <c r="J9" i="6"/>
  <c r="J10" i="6"/>
  <c r="J11" i="6"/>
  <c r="J12" i="6"/>
  <c r="J13" i="6"/>
  <c r="J14" i="6"/>
  <c r="J15" i="6"/>
  <c r="J17" i="6"/>
  <c r="J19" i="6"/>
  <c r="J6" i="6"/>
  <c r="K3" i="6"/>
  <c r="L3" i="6"/>
  <c r="F4" i="6"/>
  <c r="K4" i="6"/>
  <c r="L4" i="6"/>
  <c r="C5" i="6"/>
  <c r="J5" i="6"/>
  <c r="D5" i="6" l="1"/>
  <c r="E5" i="6" s="1"/>
  <c r="G5" i="6"/>
  <c r="L5" i="6"/>
  <c r="E12" i="6"/>
  <c r="E10" i="6"/>
  <c r="E19" i="6"/>
  <c r="E9" i="6"/>
  <c r="E8" i="6"/>
  <c r="E7" i="6"/>
  <c r="E17" i="6"/>
  <c r="E14" i="6"/>
  <c r="E15" i="6"/>
  <c r="E13" i="6"/>
  <c r="E11" i="6"/>
  <c r="AS5" i="6"/>
  <c r="AR5" i="6"/>
  <c r="AO5" i="6"/>
  <c r="AP5" i="6"/>
  <c r="AL5" i="6"/>
  <c r="AM5" i="6"/>
  <c r="U5" i="6"/>
  <c r="R5" i="6"/>
  <c r="O5" i="6"/>
  <c r="L9" i="6"/>
  <c r="L6" i="6"/>
  <c r="E6" i="6"/>
  <c r="L19" i="6"/>
  <c r="L8" i="6"/>
  <c r="L10" i="6"/>
  <c r="L15" i="6"/>
  <c r="L7" i="6"/>
  <c r="L14" i="6"/>
  <c r="L12" i="6"/>
  <c r="L11" i="6"/>
  <c r="L13" i="6"/>
  <c r="L17" i="6"/>
  <c r="AS16" i="6"/>
  <c r="AR16" i="6"/>
  <c r="AP16" i="6"/>
  <c r="AO16" i="6"/>
  <c r="AM16" i="6"/>
  <c r="AL16" i="6"/>
  <c r="X16" i="6"/>
  <c r="AJ5" i="6"/>
  <c r="AI5" i="6"/>
  <c r="AG5" i="6"/>
  <c r="AF5" i="6"/>
  <c r="AD5" i="6"/>
  <c r="AC5" i="6"/>
  <c r="Z5" i="6"/>
  <c r="AA5" i="6"/>
  <c r="X5" i="6"/>
  <c r="W5" i="6"/>
  <c r="T5" i="6"/>
  <c r="Q5" i="6"/>
  <c r="N5" i="6"/>
  <c r="AI16" i="6"/>
  <c r="AJ16" i="6"/>
  <c r="AF16" i="6"/>
  <c r="AG16" i="6"/>
  <c r="AA16" i="6"/>
  <c r="AD16" i="6"/>
  <c r="Z16" i="6"/>
  <c r="AC16" i="6"/>
  <c r="W16" i="6"/>
  <c r="T16" i="6"/>
  <c r="R16" i="6"/>
  <c r="Q16" i="6"/>
  <c r="O16" i="6"/>
  <c r="N16" i="6"/>
  <c r="K5" i="6"/>
  <c r="J16" i="6"/>
  <c r="K21" i="6"/>
  <c r="K19" i="6"/>
  <c r="K17" i="6"/>
  <c r="F21" i="6"/>
  <c r="K15" i="6"/>
  <c r="K14" i="6"/>
  <c r="K13" i="6"/>
  <c r="K12" i="6"/>
  <c r="K11" i="6"/>
  <c r="K10" i="6"/>
  <c r="K9" i="6"/>
  <c r="K8" i="6"/>
  <c r="K7" i="6"/>
  <c r="K6" i="6"/>
  <c r="F3" i="6"/>
  <c r="E16" i="6" l="1"/>
  <c r="L16" i="6"/>
  <c r="AS20" i="6"/>
  <c r="AR20" i="6"/>
  <c r="AP20" i="6"/>
  <c r="AO20" i="6"/>
  <c r="AM20" i="6"/>
  <c r="AL20" i="6"/>
  <c r="AD20" i="6"/>
  <c r="X20" i="6"/>
  <c r="F5" i="6"/>
  <c r="F11" i="6"/>
  <c r="F7" i="6"/>
  <c r="F10" i="6"/>
  <c r="F19" i="6"/>
  <c r="F6" i="6"/>
  <c r="F14" i="6"/>
  <c r="F9" i="6"/>
  <c r="F13" i="6"/>
  <c r="F12" i="6"/>
  <c r="F8" i="6"/>
  <c r="F17" i="6"/>
  <c r="F15" i="6"/>
  <c r="K16" i="6"/>
  <c r="F16" i="6" l="1"/>
  <c r="J18" i="6" l="1"/>
  <c r="H32" i="60"/>
  <c r="H31" i="60"/>
  <c r="H30" i="60"/>
  <c r="H29" i="60"/>
  <c r="H28" i="60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H8" i="60"/>
  <c r="H7" i="60"/>
  <c r="H6" i="60"/>
  <c r="H5" i="60"/>
  <c r="H4" i="60"/>
  <c r="H3" i="60"/>
  <c r="L18" i="6" l="1"/>
  <c r="J20" i="6"/>
  <c r="C1" i="60"/>
  <c r="H27" i="60"/>
  <c r="H1" i="60" s="1"/>
  <c r="K18" i="6"/>
  <c r="L20" i="6" l="1"/>
  <c r="J22" i="6"/>
  <c r="E18" i="6"/>
  <c r="F18" i="6"/>
  <c r="G22" i="6" l="1"/>
  <c r="D22" i="6"/>
  <c r="C26" i="1"/>
  <c r="C27" i="1" s="1"/>
  <c r="E26" i="1"/>
  <c r="D26" i="1"/>
  <c r="D27" i="1" l="1"/>
  <c r="E27" i="1" s="1"/>
  <c r="P65" i="3"/>
  <c r="F26" i="1"/>
  <c r="F27" i="1" l="1"/>
  <c r="G26" i="1"/>
  <c r="G27" i="1" l="1"/>
  <c r="H26" i="1"/>
  <c r="H27" i="1" l="1"/>
  <c r="I26" i="1"/>
  <c r="I27" i="1" l="1"/>
  <c r="J26" i="1"/>
  <c r="J27" i="1" l="1"/>
  <c r="K26" i="1"/>
  <c r="K27" i="1" l="1"/>
  <c r="L26" i="1"/>
  <c r="L27" i="1" l="1"/>
  <c r="M26" i="1"/>
  <c r="M27" i="1" l="1"/>
  <c r="N26" i="1"/>
  <c r="N27" i="1" l="1"/>
  <c r="O26" i="1"/>
  <c r="O27" i="1" l="1"/>
  <c r="P26" i="1"/>
  <c r="P27" i="1" l="1"/>
  <c r="Q26" i="1"/>
  <c r="Q27" i="1" l="1"/>
  <c r="AA26" i="1"/>
  <c r="R26" i="1"/>
  <c r="R27" i="1" l="1"/>
  <c r="S26" i="1"/>
  <c r="S27" i="1" l="1"/>
  <c r="T26" i="1"/>
  <c r="T27" i="1" l="1"/>
  <c r="U26" i="1"/>
  <c r="U27" i="1" s="1"/>
  <c r="V26" i="1" l="1"/>
  <c r="V27" i="1" s="1"/>
  <c r="W26" i="1" l="1"/>
  <c r="W27" i="1" s="1"/>
  <c r="X26" i="1" l="1"/>
  <c r="X27" i="1" s="1"/>
  <c r="Y26" i="1" l="1"/>
  <c r="Y27" i="1" s="1"/>
  <c r="Z26" i="1"/>
  <c r="Z27" i="1" l="1"/>
  <c r="AA27" i="1" s="1"/>
  <c r="D80" i="3" l="1"/>
  <c r="D88" i="3"/>
  <c r="U197" i="3" l="1"/>
  <c r="U198" i="3"/>
  <c r="I39" i="3" s="1"/>
  <c r="U199" i="3"/>
  <c r="U200" i="3"/>
  <c r="U201" i="3"/>
  <c r="U202" i="3"/>
  <c r="U203" i="3"/>
  <c r="U204" i="3"/>
  <c r="U205" i="3"/>
  <c r="U206" i="3"/>
  <c r="U207" i="3"/>
  <c r="U208" i="3"/>
  <c r="U209" i="3"/>
  <c r="U210" i="3"/>
  <c r="U211" i="3"/>
  <c r="U212" i="3"/>
  <c r="U213" i="3"/>
  <c r="O43" i="3" l="1"/>
  <c r="H31" i="3"/>
  <c r="G46" i="3"/>
  <c r="O32" i="3"/>
  <c r="G45" i="3"/>
  <c r="M43" i="3"/>
  <c r="O37" i="3"/>
  <c r="H42" i="3"/>
  <c r="K35" i="3"/>
  <c r="M44" i="3"/>
  <c r="M46" i="3"/>
  <c r="E40" i="3"/>
  <c r="H33" i="3"/>
  <c r="N35" i="3"/>
  <c r="F45" i="3"/>
  <c r="I41" i="3"/>
  <c r="L34" i="3"/>
  <c r="E44" i="3"/>
  <c r="L45" i="3"/>
  <c r="N39" i="3"/>
  <c r="F33" i="3"/>
  <c r="L36" i="3"/>
  <c r="J31" i="3"/>
  <c r="F46" i="3"/>
  <c r="F43" i="3"/>
  <c r="I36" i="3"/>
  <c r="K33" i="3"/>
  <c r="K41" i="3"/>
  <c r="N34" i="3"/>
  <c r="N41" i="3"/>
  <c r="N45" i="3"/>
  <c r="H39" i="3"/>
  <c r="K32" i="3"/>
  <c r="G32" i="3"/>
  <c r="J46" i="3"/>
  <c r="L40" i="3"/>
  <c r="O33" i="3"/>
  <c r="L39" i="3"/>
  <c r="O44" i="3"/>
  <c r="F39" i="3"/>
  <c r="I32" i="3"/>
  <c r="O35" i="3"/>
  <c r="I31" i="3"/>
  <c r="J42" i="3"/>
  <c r="I42" i="3"/>
  <c r="L35" i="3"/>
  <c r="L46" i="3"/>
  <c r="N40" i="3"/>
  <c r="F34" i="3"/>
  <c r="H37" i="3"/>
  <c r="I44" i="3"/>
  <c r="L37" i="3"/>
  <c r="N31" i="3"/>
  <c r="L44" i="3"/>
  <c r="M45" i="3"/>
  <c r="O39" i="3"/>
  <c r="G33" i="3"/>
  <c r="F35" i="3"/>
  <c r="G44" i="3"/>
  <c r="J37" i="3"/>
  <c r="L31" i="3"/>
  <c r="G35" i="3"/>
  <c r="H46" i="3"/>
  <c r="H40" i="3"/>
  <c r="L41" i="3"/>
  <c r="O34" i="3"/>
  <c r="I43" i="3"/>
  <c r="O45" i="3"/>
  <c r="F40" i="3"/>
  <c r="I33" i="3"/>
  <c r="I34" i="3"/>
  <c r="L43" i="3"/>
  <c r="O36" i="3"/>
  <c r="F31" i="3"/>
  <c r="M41" i="3"/>
  <c r="E45" i="3"/>
  <c r="G39" i="3"/>
  <c r="J32" i="3"/>
  <c r="I45" i="3"/>
  <c r="J43" i="3"/>
  <c r="M36" i="3"/>
  <c r="N44" i="3"/>
  <c r="J34" i="3"/>
  <c r="O41" i="3"/>
  <c r="M35" i="3"/>
  <c r="O40" i="3"/>
  <c r="G34" i="3"/>
  <c r="L32" i="3"/>
  <c r="N46" i="3"/>
  <c r="O42" i="3"/>
  <c r="G36" i="3"/>
  <c r="F44" i="3"/>
  <c r="G37" i="3"/>
  <c r="H44" i="3"/>
  <c r="K37" i="3"/>
  <c r="M31" i="3"/>
  <c r="E41" i="3"/>
  <c r="M42" i="3"/>
  <c r="E36" i="3"/>
  <c r="J40" i="3"/>
  <c r="M33" i="3"/>
  <c r="J45" i="3"/>
  <c r="E46" i="3"/>
  <c r="G40" i="3"/>
  <c r="J33" i="3"/>
  <c r="F41" i="3"/>
  <c r="J44" i="3"/>
  <c r="M37" i="3"/>
  <c r="O31" i="3"/>
  <c r="G43" i="3"/>
  <c r="G42" i="3"/>
  <c r="J35" i="3"/>
  <c r="O46" i="3"/>
  <c r="H34" i="3"/>
  <c r="K43" i="3"/>
  <c r="N36" i="3"/>
  <c r="E31" i="3"/>
  <c r="J36" i="3"/>
  <c r="E42" i="3"/>
  <c r="H35" i="3"/>
  <c r="M39" i="3"/>
  <c r="E33" i="3"/>
  <c r="K42" i="3"/>
  <c r="H45" i="3"/>
  <c r="J39" i="3"/>
  <c r="M32" i="3"/>
  <c r="E37" i="3"/>
  <c r="G31" i="3"/>
  <c r="K39" i="3"/>
  <c r="J41" i="3"/>
  <c r="M34" i="3"/>
  <c r="H43" i="3"/>
  <c r="N32" i="3"/>
  <c r="N42" i="3"/>
  <c r="F36" i="3"/>
  <c r="K45" i="3"/>
  <c r="F32" i="3"/>
  <c r="H41" i="3"/>
  <c r="K34" i="3"/>
  <c r="E39" i="3"/>
  <c r="H32" i="3"/>
  <c r="K36" i="3"/>
  <c r="K44" i="3"/>
  <c r="N37" i="3"/>
  <c r="E32" i="3"/>
  <c r="E43" i="3"/>
  <c r="H36" i="3"/>
  <c r="L42" i="3"/>
  <c r="E35" i="3"/>
  <c r="M40" i="3"/>
  <c r="E34" i="3"/>
  <c r="I40" i="3"/>
  <c r="K46" i="3"/>
  <c r="F42" i="3"/>
  <c r="I35" i="3"/>
  <c r="G41" i="3"/>
  <c r="I46" i="3"/>
  <c r="K40" i="3"/>
  <c r="N33" i="3"/>
  <c r="I37" i="3"/>
  <c r="K31" i="3"/>
  <c r="L33" i="3"/>
  <c r="N43" i="3"/>
  <c r="F37" i="3"/>
  <c r="D44" i="3"/>
  <c r="D31" i="3"/>
  <c r="D41" i="3"/>
  <c r="D43" i="3"/>
  <c r="D45" i="3"/>
  <c r="D37" i="3"/>
  <c r="D35" i="3"/>
  <c r="D33" i="3"/>
  <c r="D40" i="3"/>
  <c r="D42" i="3"/>
  <c r="D36" i="3"/>
  <c r="D34" i="3"/>
  <c r="D32" i="3"/>
  <c r="H10" i="3" l="1"/>
  <c r="J10" i="3"/>
  <c r="G10" i="3"/>
  <c r="L10" i="3"/>
  <c r="N10" i="3"/>
  <c r="E10" i="3"/>
  <c r="M10" i="3"/>
  <c r="D10" i="3"/>
  <c r="I10" i="3"/>
  <c r="F10" i="3"/>
  <c r="O10" i="3"/>
  <c r="K10" i="3"/>
  <c r="P41" i="3"/>
  <c r="P40" i="3"/>
  <c r="O38" i="3"/>
  <c r="G38" i="3"/>
  <c r="I47" i="3"/>
  <c r="H38" i="3"/>
  <c r="G47" i="3"/>
  <c r="I38" i="3"/>
  <c r="L38" i="3"/>
  <c r="K47" i="3"/>
  <c r="M47" i="3"/>
  <c r="M38" i="3"/>
  <c r="F38" i="3"/>
  <c r="E47" i="3"/>
  <c r="H47" i="3"/>
  <c r="J47" i="3"/>
  <c r="O47" i="3"/>
  <c r="J38" i="3"/>
  <c r="L47" i="3"/>
  <c r="E38" i="3"/>
  <c r="N47" i="3"/>
  <c r="F47" i="3"/>
  <c r="K38" i="3"/>
  <c r="N38" i="3"/>
  <c r="P44" i="3"/>
  <c r="E20" i="3"/>
  <c r="H19" i="3"/>
  <c r="O21" i="3"/>
  <c r="I21" i="3"/>
  <c r="H20" i="3"/>
  <c r="N20" i="3"/>
  <c r="G19" i="3"/>
  <c r="F20" i="3"/>
  <c r="N19" i="3"/>
  <c r="L21" i="3"/>
  <c r="F21" i="3"/>
  <c r="H21" i="3"/>
  <c r="K21" i="3"/>
  <c r="F19" i="3"/>
  <c r="N21" i="3"/>
  <c r="O20" i="3"/>
  <c r="L20" i="3"/>
  <c r="M19" i="3"/>
  <c r="E19" i="3"/>
  <c r="J20" i="3"/>
  <c r="I20" i="3"/>
  <c r="G20" i="3"/>
  <c r="D20" i="3"/>
  <c r="J19" i="3"/>
  <c r="L19" i="3"/>
  <c r="K20" i="3"/>
  <c r="E21" i="3"/>
  <c r="J21" i="3"/>
  <c r="O19" i="3"/>
  <c r="M21" i="3"/>
  <c r="G21" i="3"/>
  <c r="M20" i="3"/>
  <c r="I19" i="3"/>
  <c r="K19" i="3"/>
  <c r="D19" i="3"/>
  <c r="O61" i="3" l="1"/>
  <c r="M61" i="3"/>
  <c r="N61" i="3"/>
  <c r="L61" i="3"/>
  <c r="K61" i="3"/>
  <c r="K66" i="3" s="1"/>
  <c r="J61" i="3"/>
  <c r="J71" i="3" s="1"/>
  <c r="I61" i="3"/>
  <c r="I71" i="3" s="1"/>
  <c r="C84" i="3"/>
  <c r="D84" i="3" s="1"/>
  <c r="H61" i="3"/>
  <c r="G61" i="3"/>
  <c r="F61" i="3"/>
  <c r="E61" i="3"/>
  <c r="P19" i="3"/>
  <c r="Q19" i="3" s="1"/>
  <c r="J73" i="3" l="1"/>
  <c r="J74" i="3"/>
  <c r="I73" i="3"/>
  <c r="I74" i="3"/>
  <c r="H71" i="3"/>
  <c r="G71" i="3"/>
  <c r="G73" i="3" s="1"/>
  <c r="F71" i="3"/>
  <c r="E71" i="3"/>
  <c r="O66" i="3"/>
  <c r="N66" i="3"/>
  <c r="M66" i="3"/>
  <c r="L66" i="3"/>
  <c r="J66" i="3"/>
  <c r="I66" i="3"/>
  <c r="F66" i="3"/>
  <c r="G66" i="3"/>
  <c r="H66" i="3"/>
  <c r="E66" i="3"/>
  <c r="R19" i="3"/>
  <c r="D46" i="3"/>
  <c r="D39" i="3"/>
  <c r="H73" i="3" l="1"/>
  <c r="H74" i="3"/>
  <c r="G74" i="3"/>
  <c r="F73" i="3"/>
  <c r="F74" i="3"/>
  <c r="E74" i="3"/>
  <c r="E73" i="3"/>
  <c r="D21" i="3"/>
  <c r="E14" i="3" l="1"/>
  <c r="F14" i="3"/>
  <c r="G14" i="3"/>
  <c r="H14" i="3"/>
  <c r="I14" i="3"/>
  <c r="J14" i="3"/>
  <c r="K14" i="3"/>
  <c r="L14" i="3"/>
  <c r="M14" i="3"/>
  <c r="N14" i="3"/>
  <c r="O14" i="3"/>
  <c r="E15" i="3"/>
  <c r="F15" i="3"/>
  <c r="G15" i="3"/>
  <c r="H15" i="3"/>
  <c r="I15" i="3"/>
  <c r="J15" i="3"/>
  <c r="K15" i="3"/>
  <c r="L15" i="3"/>
  <c r="M15" i="3"/>
  <c r="N15" i="3"/>
  <c r="O15" i="3"/>
  <c r="E16" i="3"/>
  <c r="F16" i="3"/>
  <c r="G16" i="3"/>
  <c r="H16" i="3"/>
  <c r="I16" i="3"/>
  <c r="J16" i="3"/>
  <c r="K16" i="3"/>
  <c r="L16" i="3"/>
  <c r="M16" i="3"/>
  <c r="N16" i="3"/>
  <c r="O16" i="3"/>
  <c r="E17" i="3"/>
  <c r="F17" i="3"/>
  <c r="G17" i="3"/>
  <c r="H17" i="3"/>
  <c r="I17" i="3"/>
  <c r="J17" i="3"/>
  <c r="K17" i="3"/>
  <c r="L17" i="3"/>
  <c r="M17" i="3"/>
  <c r="N17" i="3"/>
  <c r="O17" i="3"/>
  <c r="E18" i="3"/>
  <c r="F18" i="3"/>
  <c r="G18" i="3"/>
  <c r="H18" i="3"/>
  <c r="I18" i="3"/>
  <c r="J18" i="3"/>
  <c r="K18" i="3"/>
  <c r="L18" i="3"/>
  <c r="M18" i="3"/>
  <c r="N18" i="3"/>
  <c r="O18" i="3"/>
  <c r="D15" i="3"/>
  <c r="D16" i="3"/>
  <c r="D17" i="3"/>
  <c r="D18" i="3"/>
  <c r="D14" i="3"/>
  <c r="E6" i="3"/>
  <c r="F6" i="3"/>
  <c r="G6" i="3"/>
  <c r="H6" i="3"/>
  <c r="I6" i="3"/>
  <c r="J6" i="3"/>
  <c r="K6" i="3"/>
  <c r="L6" i="3"/>
  <c r="M6" i="3"/>
  <c r="N6" i="3"/>
  <c r="O6" i="3"/>
  <c r="E7" i="3"/>
  <c r="F7" i="3"/>
  <c r="G7" i="3"/>
  <c r="H7" i="3"/>
  <c r="I7" i="3"/>
  <c r="J7" i="3"/>
  <c r="K7" i="3"/>
  <c r="L7" i="3"/>
  <c r="M7" i="3"/>
  <c r="N7" i="3"/>
  <c r="O7" i="3"/>
  <c r="E8" i="3"/>
  <c r="F8" i="3"/>
  <c r="G8" i="3"/>
  <c r="H8" i="3"/>
  <c r="I8" i="3"/>
  <c r="J8" i="3"/>
  <c r="K8" i="3"/>
  <c r="L8" i="3"/>
  <c r="M8" i="3"/>
  <c r="N8" i="3"/>
  <c r="O8" i="3"/>
  <c r="E9" i="3"/>
  <c r="F9" i="3"/>
  <c r="G9" i="3"/>
  <c r="H9" i="3"/>
  <c r="I9" i="3"/>
  <c r="J9" i="3"/>
  <c r="K9" i="3"/>
  <c r="L9" i="3"/>
  <c r="M9" i="3"/>
  <c r="N9" i="3"/>
  <c r="O9" i="3"/>
  <c r="E11" i="3"/>
  <c r="F11" i="3"/>
  <c r="G11" i="3"/>
  <c r="H11" i="3"/>
  <c r="I11" i="3"/>
  <c r="J11" i="3"/>
  <c r="K11" i="3"/>
  <c r="L11" i="3"/>
  <c r="M11" i="3"/>
  <c r="N11" i="3"/>
  <c r="O11" i="3"/>
  <c r="E12" i="3"/>
  <c r="F12" i="3"/>
  <c r="G12" i="3"/>
  <c r="H12" i="3"/>
  <c r="I12" i="3"/>
  <c r="J12" i="3"/>
  <c r="K12" i="3"/>
  <c r="L12" i="3"/>
  <c r="M12" i="3"/>
  <c r="N12" i="3"/>
  <c r="O12" i="3"/>
  <c r="D7" i="3"/>
  <c r="D8" i="3"/>
  <c r="D9" i="3"/>
  <c r="D11" i="3"/>
  <c r="D12" i="3"/>
  <c r="D6" i="3"/>
  <c r="D4" i="3"/>
  <c r="E4" i="3"/>
  <c r="F4" i="3"/>
  <c r="G4" i="3"/>
  <c r="H4" i="3"/>
  <c r="I4" i="3"/>
  <c r="J4" i="3"/>
  <c r="K4" i="3"/>
  <c r="L4" i="3"/>
  <c r="M4" i="3"/>
  <c r="N4" i="3"/>
  <c r="O4" i="3"/>
  <c r="E3" i="3"/>
  <c r="F3" i="3"/>
  <c r="G3" i="3"/>
  <c r="H3" i="3"/>
  <c r="I3" i="3"/>
  <c r="J3" i="3"/>
  <c r="K3" i="3"/>
  <c r="L3" i="3"/>
  <c r="M3" i="3"/>
  <c r="N3" i="3"/>
  <c r="O3" i="3"/>
  <c r="D54" i="3" l="1"/>
  <c r="D59" i="3"/>
  <c r="D48" i="3"/>
  <c r="D55" i="3"/>
  <c r="D49" i="3"/>
  <c r="D56" i="3"/>
  <c r="D58" i="3"/>
  <c r="D51" i="3"/>
  <c r="D60" i="3"/>
  <c r="D52" i="3"/>
  <c r="D50" i="3"/>
  <c r="D53" i="3"/>
  <c r="P58" i="3" l="1"/>
  <c r="P53" i="3"/>
  <c r="P52" i="3"/>
  <c r="P51" i="3"/>
  <c r="P56" i="3"/>
  <c r="P49" i="3"/>
  <c r="P50" i="3"/>
  <c r="P55" i="3"/>
  <c r="P48" i="3"/>
  <c r="P59" i="3"/>
  <c r="P60" i="3"/>
  <c r="P54" i="3"/>
  <c r="C86" i="3" l="1"/>
  <c r="D86" i="3" s="1"/>
  <c r="K22" i="3" l="1"/>
  <c r="D72" i="3" l="1"/>
  <c r="P45" i="3"/>
  <c r="P20" i="3" l="1"/>
  <c r="Q20" i="3" s="1"/>
  <c r="I13" i="3" l="1"/>
  <c r="P62" i="3"/>
  <c r="O22" i="3"/>
  <c r="N22" i="3"/>
  <c r="M22" i="3"/>
  <c r="L22" i="3"/>
  <c r="J22" i="3"/>
  <c r="G22" i="3"/>
  <c r="O13" i="3"/>
  <c r="N13" i="3"/>
  <c r="M13" i="3"/>
  <c r="L13" i="3"/>
  <c r="K13" i="3"/>
  <c r="J13" i="3"/>
  <c r="H13" i="3"/>
  <c r="D47" i="3"/>
  <c r="P34" i="3"/>
  <c r="P32" i="3"/>
  <c r="P46" i="3"/>
  <c r="P43" i="3"/>
  <c r="P36" i="3"/>
  <c r="P33" i="3"/>
  <c r="P29" i="3"/>
  <c r="P5" i="3" l="1"/>
  <c r="Q5" i="3" s="1"/>
  <c r="C85" i="3"/>
  <c r="D85" i="3" s="1"/>
  <c r="C87" i="3"/>
  <c r="D87" i="3" s="1"/>
  <c r="C81" i="3"/>
  <c r="D81" i="3" s="1"/>
  <c r="P15" i="3"/>
  <c r="P8" i="3"/>
  <c r="P11" i="3"/>
  <c r="P21" i="3"/>
  <c r="Q21" i="3" s="1"/>
  <c r="P18" i="3"/>
  <c r="P7" i="3"/>
  <c r="P9" i="3"/>
  <c r="P72" i="3"/>
  <c r="P35" i="3"/>
  <c r="R20" i="3"/>
  <c r="D38" i="3"/>
  <c r="P64" i="3"/>
  <c r="P26" i="3"/>
  <c r="P37" i="3"/>
  <c r="P31" i="3"/>
  <c r="P39" i="3"/>
  <c r="P42" i="3"/>
  <c r="P10" i="3" l="1"/>
  <c r="C79" i="3"/>
  <c r="D79" i="3" s="1"/>
  <c r="P4" i="3"/>
  <c r="P12" i="3"/>
  <c r="P14" i="3"/>
  <c r="P16" i="3"/>
  <c r="P17" i="3"/>
  <c r="P6" i="3"/>
  <c r="P38" i="3"/>
  <c r="P47" i="3"/>
  <c r="I22" i="3"/>
  <c r="Q10" i="3" l="1"/>
  <c r="R10" i="3"/>
  <c r="C89" i="3"/>
  <c r="D89" i="3" s="1"/>
  <c r="C90" i="3"/>
  <c r="D90" i="3" s="1"/>
  <c r="H22" i="3" l="1"/>
  <c r="F13" i="3" l="1"/>
  <c r="G13" i="3" l="1"/>
  <c r="F22" i="3" l="1"/>
  <c r="E13" i="3" l="1"/>
  <c r="E22" i="3"/>
  <c r="C13" i="3" l="1"/>
  <c r="R11" i="3"/>
  <c r="Q11" i="3" l="1"/>
  <c r="D22" i="3" l="1"/>
  <c r="C42" i="6" l="1"/>
  <c r="C41" i="6"/>
  <c r="C40" i="6"/>
  <c r="C39" i="6"/>
  <c r="C37" i="6"/>
  <c r="C36" i="6"/>
  <c r="C35" i="6"/>
  <c r="C34" i="6"/>
  <c r="C33" i="6"/>
  <c r="C31" i="6"/>
  <c r="C29" i="6"/>
  <c r="C28" i="6"/>
  <c r="C27" i="6"/>
  <c r="F26" i="6" l="1"/>
  <c r="D27" i="6"/>
  <c r="E27" i="6" s="1"/>
  <c r="F27" i="6" l="1"/>
  <c r="Q15" i="3"/>
  <c r="D13" i="3"/>
  <c r="C32" i="6" l="1"/>
  <c r="R15" i="3"/>
  <c r="D42" i="6" l="1"/>
  <c r="D41" i="6"/>
  <c r="D33" i="6"/>
  <c r="D39" i="6"/>
  <c r="D32" i="6"/>
  <c r="D28" i="6"/>
  <c r="D36" i="6"/>
  <c r="D30" i="6"/>
  <c r="D34" i="6"/>
  <c r="D29" i="6"/>
  <c r="D35" i="6"/>
  <c r="D37" i="6"/>
  <c r="D31" i="6"/>
  <c r="P57" i="3" l="1"/>
  <c r="D61" i="3"/>
  <c r="F31" i="6"/>
  <c r="E31" i="6"/>
  <c r="F32" i="6"/>
  <c r="E32" i="6"/>
  <c r="F37" i="6"/>
  <c r="E37" i="6"/>
  <c r="F39" i="6"/>
  <c r="E39" i="6"/>
  <c r="E36" i="6"/>
  <c r="F36" i="6"/>
  <c r="E33" i="6"/>
  <c r="F33" i="6"/>
  <c r="E41" i="6"/>
  <c r="F41" i="6"/>
  <c r="F28" i="6"/>
  <c r="E28" i="6"/>
  <c r="F35" i="6"/>
  <c r="E35" i="6"/>
  <c r="F29" i="6"/>
  <c r="E29" i="6"/>
  <c r="E34" i="6"/>
  <c r="F34" i="6"/>
  <c r="E42" i="6"/>
  <c r="F42" i="6"/>
  <c r="C83" i="3" l="1"/>
  <c r="D83" i="3" s="1"/>
  <c r="P61" i="3"/>
  <c r="D71" i="3"/>
  <c r="P71" i="3" s="1"/>
  <c r="C91" i="3" l="1"/>
  <c r="D91" i="3" s="1"/>
  <c r="D40" i="6" l="1"/>
  <c r="F40" i="6" l="1"/>
  <c r="E40" i="6"/>
  <c r="Q18" i="3"/>
  <c r="C30" i="6"/>
  <c r="Q6" i="3"/>
  <c r="R7" i="3"/>
  <c r="R14" i="3"/>
  <c r="C22" i="3"/>
  <c r="F30" i="6" l="1"/>
  <c r="E30" i="6"/>
  <c r="R5" i="3"/>
  <c r="R21" i="3"/>
  <c r="R8" i="3"/>
  <c r="R18" i="3"/>
  <c r="R4" i="3"/>
  <c r="R6" i="3"/>
  <c r="Q12" i="3"/>
  <c r="Q7" i="3"/>
  <c r="Q14" i="3"/>
  <c r="P13" i="3"/>
  <c r="R16" i="3"/>
  <c r="R13" i="3" l="1"/>
  <c r="C38" i="6"/>
  <c r="Q8" i="3"/>
  <c r="P22" i="3"/>
  <c r="R22" i="3" s="1"/>
  <c r="Q4" i="3"/>
  <c r="R12" i="3"/>
  <c r="Q13" i="3"/>
  <c r="R9" i="3"/>
  <c r="Q9" i="3"/>
  <c r="Q17" i="3"/>
  <c r="R17" i="3"/>
  <c r="Q16" i="3"/>
  <c r="Q22" i="3" l="1"/>
  <c r="D38" i="6" l="1"/>
  <c r="F38" i="6" l="1"/>
  <c r="E38" i="6"/>
  <c r="P27" i="3" l="1"/>
  <c r="C78" i="3" s="1"/>
  <c r="D3" i="3"/>
  <c r="D30" i="3"/>
  <c r="D66" i="3" l="1"/>
  <c r="P3" i="3"/>
  <c r="Q3" i="3" s="1"/>
  <c r="C82" i="3"/>
  <c r="D82" i="3" s="1"/>
  <c r="P30" i="3"/>
  <c r="D70" i="3"/>
  <c r="P66" i="3" l="1"/>
  <c r="C66" i="3" s="1"/>
  <c r="C61" i="3"/>
  <c r="C57" i="3"/>
  <c r="C26" i="3"/>
  <c r="R3" i="3"/>
  <c r="C63" i="3"/>
  <c r="C62" i="3"/>
  <c r="C65" i="3"/>
  <c r="D78" i="3"/>
  <c r="P73" i="3"/>
  <c r="P70" i="3"/>
  <c r="R71" i="3" s="1"/>
  <c r="D74" i="3"/>
  <c r="D75" i="3" s="1"/>
  <c r="E75" i="3" s="1"/>
  <c r="F75" i="3" s="1"/>
  <c r="G75" i="3" s="1"/>
  <c r="H75" i="3" s="1"/>
  <c r="I75" i="3" s="1"/>
  <c r="J75" i="3" s="1"/>
  <c r="C32" i="3"/>
  <c r="C34" i="3"/>
  <c r="C30" i="3"/>
  <c r="C53" i="3"/>
  <c r="C64" i="3"/>
  <c r="C35" i="3"/>
  <c r="C52" i="3"/>
  <c r="C48" i="3"/>
  <c r="C44" i="3"/>
  <c r="C33" i="3"/>
  <c r="C51" i="3"/>
  <c r="C59" i="3"/>
  <c r="C29" i="3"/>
  <c r="C40" i="3"/>
  <c r="C41" i="3"/>
  <c r="C37" i="3"/>
  <c r="C36" i="3"/>
  <c r="C42" i="3"/>
  <c r="C55" i="3"/>
  <c r="C46" i="3"/>
  <c r="C58" i="3"/>
  <c r="C43" i="3"/>
  <c r="C45" i="3"/>
  <c r="C38" i="3"/>
  <c r="C39" i="3"/>
  <c r="C47" i="3"/>
  <c r="C54" i="3"/>
  <c r="C60" i="3"/>
  <c r="C27" i="3"/>
  <c r="C56" i="3"/>
  <c r="C50" i="3"/>
  <c r="C49" i="3"/>
  <c r="C31" i="3"/>
  <c r="C28" i="3"/>
  <c r="P74" i="3" l="1"/>
  <c r="K20" i="6" l="1"/>
  <c r="O20" i="6"/>
  <c r="N20" i="6"/>
  <c r="Q20" i="6"/>
  <c r="R20" i="6"/>
  <c r="T20" i="6"/>
  <c r="W20" i="6"/>
  <c r="Z20" i="6"/>
  <c r="AA20" i="6"/>
  <c r="E20" i="6"/>
  <c r="AC20" i="6"/>
  <c r="AG20" i="6"/>
  <c r="AF20" i="6"/>
  <c r="AI20" i="6"/>
  <c r="AJ20" i="6"/>
  <c r="F20" i="6" l="1"/>
</calcChain>
</file>

<file path=xl/sharedStrings.xml><?xml version="1.0" encoding="utf-8"?>
<sst xmlns="http://schemas.openxmlformats.org/spreadsheetml/2006/main" count="2610" uniqueCount="444">
  <si>
    <t>家族構成</t>
  </si>
  <si>
    <t>西暦</t>
  </si>
  <si>
    <t>世帯主</t>
  </si>
  <si>
    <t>年齢</t>
  </si>
  <si>
    <t>配偶者</t>
  </si>
  <si>
    <t>第1子</t>
  </si>
  <si>
    <t>その他収入</t>
  </si>
  <si>
    <t>収入合計</t>
  </si>
  <si>
    <t>生活費</t>
  </si>
  <si>
    <t>住宅</t>
  </si>
  <si>
    <t>ライフイベント</t>
  </si>
  <si>
    <t>保険</t>
  </si>
  <si>
    <t>介護</t>
  </si>
  <si>
    <t>支出合計</t>
  </si>
  <si>
    <t>年間収支</t>
  </si>
  <si>
    <t>幼稚</t>
  </si>
  <si>
    <t>小学</t>
  </si>
  <si>
    <t>中学</t>
  </si>
  <si>
    <t>高校</t>
  </si>
  <si>
    <t>大学</t>
  </si>
  <si>
    <t>水道光熱費</t>
  </si>
  <si>
    <t>通信費</t>
  </si>
  <si>
    <t>医療費</t>
  </si>
  <si>
    <t>基本生活費</t>
    <rPh sb="0" eb="2">
      <t>キホン</t>
    </rPh>
    <rPh sb="2" eb="4">
      <t>セイカツ</t>
    </rPh>
    <rPh sb="4" eb="5">
      <t>ヒ</t>
    </rPh>
    <phoneticPr fontId="1"/>
  </si>
  <si>
    <t>住居費</t>
  </si>
  <si>
    <t>保険料（車以外）</t>
  </si>
  <si>
    <t>③その他固定費計</t>
  </si>
  <si>
    <t>④一時支出計</t>
  </si>
  <si>
    <t>コンタクトレンズ</t>
    <phoneticPr fontId="1"/>
  </si>
  <si>
    <t>交際費・娯楽費</t>
    <phoneticPr fontId="1"/>
  </si>
  <si>
    <t>収入</t>
    <rPh sb="0" eb="2">
      <t>シュウニュウ</t>
    </rPh>
    <phoneticPr fontId="1"/>
  </si>
  <si>
    <t>配当</t>
    <rPh sb="0" eb="2">
      <t>ハイトウ</t>
    </rPh>
    <phoneticPr fontId="1"/>
  </si>
  <si>
    <t>項目</t>
    <rPh sb="0" eb="2">
      <t>コウモク</t>
    </rPh>
    <phoneticPr fontId="1"/>
  </si>
  <si>
    <t>教育費</t>
    <phoneticPr fontId="1"/>
  </si>
  <si>
    <t>固定支出</t>
    <rPh sb="0" eb="2">
      <t>コテイ</t>
    </rPh>
    <rPh sb="2" eb="4">
      <t>シシュツ</t>
    </rPh>
    <phoneticPr fontId="1"/>
  </si>
  <si>
    <t>支出</t>
    <rPh sb="0" eb="2">
      <t>シシュツ</t>
    </rPh>
    <phoneticPr fontId="1"/>
  </si>
  <si>
    <t>個別</t>
    <rPh sb="0" eb="2">
      <t>コベツ</t>
    </rPh>
    <phoneticPr fontId="1"/>
  </si>
  <si>
    <t>その他</t>
    <rPh sb="2" eb="3">
      <t>タ</t>
    </rPh>
    <phoneticPr fontId="1"/>
  </si>
  <si>
    <t>NHK</t>
    <phoneticPr fontId="1"/>
  </si>
  <si>
    <t>年間</t>
    <rPh sb="0" eb="2">
      <t>ネンカン</t>
    </rPh>
    <phoneticPr fontId="1"/>
  </si>
  <si>
    <t>ボーナス</t>
    <phoneticPr fontId="1"/>
  </si>
  <si>
    <t>年間固定費</t>
    <rPh sb="0" eb="2">
      <t>ネンカン</t>
    </rPh>
    <rPh sb="2" eb="5">
      <t>コテイヒ</t>
    </rPh>
    <phoneticPr fontId="1"/>
  </si>
  <si>
    <t>投資</t>
    <rPh sb="0" eb="2">
      <t>トウシ</t>
    </rPh>
    <phoneticPr fontId="1"/>
  </si>
  <si>
    <t>教育</t>
    <phoneticPr fontId="1"/>
  </si>
  <si>
    <t>基本生活費計</t>
    <phoneticPr fontId="1"/>
  </si>
  <si>
    <t>退職金・年金</t>
    <phoneticPr fontId="1"/>
  </si>
  <si>
    <t>食費</t>
    <phoneticPr fontId="1"/>
  </si>
  <si>
    <t>引越</t>
    <rPh sb="0" eb="2">
      <t>ヒッコシ</t>
    </rPh>
    <phoneticPr fontId="1"/>
  </si>
  <si>
    <t>交通費</t>
    <rPh sb="0" eb="3">
      <t>コウツウヒ</t>
    </rPh>
    <phoneticPr fontId="1"/>
  </si>
  <si>
    <t>給与（税・社保等控除後）</t>
    <rPh sb="0" eb="2">
      <t>キュウヨ</t>
    </rPh>
    <rPh sb="3" eb="4">
      <t>ゼイ</t>
    </rPh>
    <rPh sb="5" eb="7">
      <t>シャホ</t>
    </rPh>
    <rPh sb="7" eb="8">
      <t>トウ</t>
    </rPh>
    <rPh sb="8" eb="10">
      <t>コウジョ</t>
    </rPh>
    <rPh sb="10" eb="11">
      <t>ゴ</t>
    </rPh>
    <phoneticPr fontId="1"/>
  </si>
  <si>
    <t>日付</t>
    <rPh sb="0" eb="2">
      <t>ヒヅケ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</si>
  <si>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</si>
  <si>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</si>
  <si>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明細</t>
    <rPh sb="0" eb="2">
      <t>メイサイ</t>
    </rPh>
    <phoneticPr fontId="1"/>
  </si>
  <si>
    <t>年払保険料</t>
    <rPh sb="0" eb="1">
      <t>ネン</t>
    </rPh>
    <rPh sb="1" eb="2">
      <t>バラ</t>
    </rPh>
    <rPh sb="2" eb="5">
      <t>ホケンリョウ</t>
    </rPh>
    <phoneticPr fontId="1"/>
  </si>
  <si>
    <t>曜日</t>
    <rPh sb="0" eb="2">
      <t>ヨウビ</t>
    </rPh>
    <phoneticPr fontId="1"/>
  </si>
  <si>
    <t>月</t>
  </si>
  <si>
    <t>日用品費・消耗品費</t>
    <phoneticPr fontId="1"/>
  </si>
  <si>
    <t>新聞図書費</t>
    <phoneticPr fontId="1"/>
  </si>
  <si>
    <t>保険料（車以外）</t>
    <phoneticPr fontId="1"/>
  </si>
  <si>
    <t>残額</t>
    <rPh sb="0" eb="2">
      <t>ザンガク</t>
    </rPh>
    <phoneticPr fontId="1"/>
  </si>
  <si>
    <t>予定</t>
    <rPh sb="0" eb="2">
      <t>ヨテイ</t>
    </rPh>
    <phoneticPr fontId="1"/>
  </si>
  <si>
    <t>実績</t>
    <rPh sb="0" eb="2">
      <t>ジッセキ</t>
    </rPh>
    <phoneticPr fontId="1"/>
  </si>
  <si>
    <t>支出合計</t>
    <rPh sb="0" eb="2">
      <t>シシュツ</t>
    </rPh>
    <rPh sb="2" eb="4">
      <t>ゴウケイ</t>
    </rPh>
    <phoneticPr fontId="1"/>
  </si>
  <si>
    <t>収支合計</t>
    <rPh sb="0" eb="2">
      <t>シュウシ</t>
    </rPh>
    <rPh sb="2" eb="4">
      <t>ゴウケイ</t>
    </rPh>
    <phoneticPr fontId="1"/>
  </si>
  <si>
    <t>収入合計</t>
    <rPh sb="0" eb="2">
      <t>シュウニュウ</t>
    </rPh>
    <rPh sb="2" eb="4">
      <t>ゴウケイ</t>
    </rPh>
    <phoneticPr fontId="1"/>
  </si>
  <si>
    <t>火</t>
  </si>
  <si>
    <t>水</t>
  </si>
  <si>
    <t>通信費</t>
    <phoneticPr fontId="1"/>
  </si>
  <si>
    <t>木</t>
  </si>
  <si>
    <t>割合</t>
    <rPh sb="0" eb="2">
      <t>ワリアイ</t>
    </rPh>
    <phoneticPr fontId="1"/>
  </si>
  <si>
    <t>金</t>
  </si>
  <si>
    <t>土</t>
  </si>
  <si>
    <t>日</t>
  </si>
  <si>
    <t>住居費</t>
    <rPh sb="0" eb="3">
      <t>ジュウキョヒ</t>
    </rPh>
    <phoneticPr fontId="1"/>
  </si>
  <si>
    <t>家賃</t>
    <rPh sb="0" eb="2">
      <t>ヤチン</t>
    </rPh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</si>
  <si>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</si>
  <si>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</si>
  <si>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</si>
  <si>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</si>
  <si>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</si>
  <si>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</si>
  <si>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</si>
  <si>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</si>
  <si>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</si>
  <si>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</si>
  <si>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</si>
  <si>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</si>
  <si>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ガス</t>
    <phoneticPr fontId="1"/>
  </si>
  <si>
    <t>2月</t>
    <rPh sb="1" eb="2">
      <t>ガツ</t>
    </rPh>
    <phoneticPr fontId="1"/>
  </si>
  <si>
    <t>家計費</t>
    <rPh sb="0" eb="2">
      <t>カケイ</t>
    </rPh>
    <rPh sb="2" eb="3">
      <t>ヒ</t>
    </rPh>
    <phoneticPr fontId="1"/>
  </si>
  <si>
    <t>水道光熱費</t>
    <phoneticPr fontId="1"/>
  </si>
  <si>
    <t>家具・家電</t>
    <rPh sb="0" eb="2">
      <t>カグ</t>
    </rPh>
    <rPh sb="3" eb="5">
      <t>カデン</t>
    </rPh>
    <phoneticPr fontId="1"/>
  </si>
  <si>
    <t>3月</t>
    <rPh sb="1" eb="2">
      <t>ガツ</t>
    </rPh>
    <phoneticPr fontId="1"/>
  </si>
  <si>
    <t>日用品費・消耗品費</t>
  </si>
  <si>
    <t>交際費・娯楽費</t>
  </si>
  <si>
    <t>雑費</t>
    <rPh sb="0" eb="2">
      <t>ザッピ</t>
    </rPh>
    <phoneticPr fontId="1"/>
  </si>
  <si>
    <t>家計費</t>
  </si>
  <si>
    <t>教育費・養育費</t>
    <rPh sb="4" eb="7">
      <t>ヨウイクヒ</t>
    </rPh>
    <phoneticPr fontId="1"/>
  </si>
  <si>
    <t>合計</t>
    <rPh sb="0" eb="2">
      <t>ゴウケイ</t>
    </rPh>
    <phoneticPr fontId="1"/>
  </si>
  <si>
    <t>冠婚葬祭・お祝い</t>
    <rPh sb="0" eb="4">
      <t>カンコンソウサイ</t>
    </rPh>
    <rPh sb="6" eb="7">
      <t>イワ</t>
    </rPh>
    <phoneticPr fontId="1"/>
  </si>
  <si>
    <t>その他収入</t>
    <rPh sb="2" eb="3">
      <t>タ</t>
    </rPh>
    <rPh sb="3" eb="5">
      <t>シュウニュウ</t>
    </rPh>
    <phoneticPr fontId="1"/>
  </si>
  <si>
    <t>4月</t>
    <rPh sb="1" eb="2">
      <t>ガツ</t>
    </rPh>
    <phoneticPr fontId="1"/>
  </si>
  <si>
    <t>人間ドック・医療費</t>
    <rPh sb="6" eb="9">
      <t>イリョウヒ</t>
    </rPh>
    <phoneticPr fontId="1"/>
  </si>
  <si>
    <t>平均</t>
    <rPh sb="0" eb="2">
      <t>ヘイキン</t>
    </rPh>
    <phoneticPr fontId="1"/>
  </si>
  <si>
    <t>実績</t>
    <rPh sb="0" eb="2">
      <t>ジッセキ</t>
    </rPh>
    <phoneticPr fontId="1"/>
  </si>
  <si>
    <t>金額</t>
  </si>
  <si>
    <t>年会費</t>
    <rPh sb="0" eb="3">
      <t>ネンカイヒ</t>
    </rPh>
    <phoneticPr fontId="1"/>
  </si>
  <si>
    <t>差額</t>
    <rPh sb="0" eb="2">
      <t>サガク</t>
    </rPh>
    <phoneticPr fontId="1"/>
  </si>
  <si>
    <t>割合</t>
    <rPh sb="0" eb="2">
      <t>ワリアイ</t>
    </rPh>
    <phoneticPr fontId="1"/>
  </si>
  <si>
    <t>旅行・レジャー</t>
    <phoneticPr fontId="1"/>
  </si>
  <si>
    <t>年収（手取り）</t>
    <rPh sb="3" eb="5">
      <t>テド</t>
    </rPh>
    <phoneticPr fontId="1"/>
  </si>
  <si>
    <t>水道代</t>
    <rPh sb="0" eb="3">
      <t>スイドウダイ</t>
    </rPh>
    <phoneticPr fontId="1"/>
  </si>
  <si>
    <t>備考</t>
    <rPh sb="0" eb="2">
      <t>ビコウ</t>
    </rPh>
    <phoneticPr fontId="1"/>
  </si>
  <si>
    <t>食費</t>
    <rPh sb="0" eb="2">
      <t>ショクヒ</t>
    </rPh>
    <phoneticPr fontId="1"/>
  </si>
  <si>
    <t>服飾</t>
    <rPh sb="0" eb="2">
      <t>フクショク</t>
    </rPh>
    <phoneticPr fontId="1"/>
  </si>
  <si>
    <t>予定</t>
    <rPh sb="0" eb="2">
      <t>ヨテイ</t>
    </rPh>
    <phoneticPr fontId="1"/>
  </si>
  <si>
    <t>実績</t>
    <rPh sb="0" eb="2">
      <t>ジッセキ</t>
    </rPh>
    <phoneticPr fontId="1"/>
  </si>
  <si>
    <t>ふるさと納税</t>
    <rPh sb="4" eb="6">
      <t>ノウゼイ</t>
    </rPh>
    <phoneticPr fontId="1"/>
  </si>
  <si>
    <t>終身保険</t>
    <rPh sb="0" eb="4">
      <t>シュウシンホケン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</si>
  <si>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</si>
  <si>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</si>
  <si>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ライフイベント</t>
    <phoneticPr fontId="1"/>
  </si>
  <si>
    <t>退職</t>
    <rPh sb="0" eb="2">
      <t>タイショク</t>
    </rPh>
    <phoneticPr fontId="1"/>
  </si>
  <si>
    <t>年収</t>
    <phoneticPr fontId="1"/>
  </si>
  <si>
    <t>養育</t>
    <rPh sb="0" eb="2">
      <t>ヨウイク</t>
    </rPh>
    <phoneticPr fontId="1"/>
  </si>
  <si>
    <t>資産残高</t>
    <rPh sb="0" eb="2">
      <t>シサン</t>
    </rPh>
    <phoneticPr fontId="1"/>
  </si>
  <si>
    <t>私立</t>
    <rPh sb="0" eb="2">
      <t>シリツ</t>
    </rPh>
    <phoneticPr fontId="1"/>
  </si>
  <si>
    <t>公立</t>
    <rPh sb="0" eb="2">
      <t>コウリツ</t>
    </rPh>
    <phoneticPr fontId="1"/>
  </si>
  <si>
    <t>私立・理</t>
    <rPh sb="0" eb="2">
      <t>シリツ</t>
    </rPh>
    <rPh sb="3" eb="4">
      <t>リ</t>
    </rPh>
    <phoneticPr fontId="1"/>
  </si>
  <si>
    <t>給与</t>
    <rPh sb="0" eb="2">
      <t>キュウヨ</t>
    </rPh>
    <phoneticPr fontId="1"/>
  </si>
  <si>
    <t>収支</t>
    <rPh sb="0" eb="2">
      <t>シュウシ</t>
    </rPh>
    <phoneticPr fontId="1"/>
  </si>
  <si>
    <t>投資合計</t>
    <phoneticPr fontId="1"/>
  </si>
  <si>
    <t>支出</t>
    <phoneticPr fontId="1"/>
  </si>
  <si>
    <t>実家支援金</t>
    <rPh sb="0" eb="2">
      <t>ジッカ</t>
    </rPh>
    <rPh sb="2" eb="5">
      <t>シエンキン</t>
    </rPh>
    <phoneticPr fontId="1"/>
  </si>
  <si>
    <t>帰省</t>
    <rPh sb="0" eb="2">
      <t>キセイ</t>
    </rPh>
    <phoneticPr fontId="1"/>
  </si>
  <si>
    <t>実家支援金</t>
    <phoneticPr fontId="1"/>
  </si>
  <si>
    <t>2024年</t>
    <rPh sb="4" eb="5">
      <t>ネン</t>
    </rPh>
    <phoneticPr fontId="1"/>
  </si>
  <si>
    <t>貯投率</t>
    <rPh sb="0" eb="1">
      <t>チョ</t>
    </rPh>
    <rPh sb="1" eb="2">
      <t>トウ</t>
    </rPh>
    <rPh sb="2" eb="3">
      <t>リツ</t>
    </rPh>
    <phoneticPr fontId="1"/>
  </si>
  <si>
    <t>引越</t>
    <phoneticPr fontId="1"/>
  </si>
  <si>
    <t>収支（再掲）</t>
    <rPh sb="0" eb="2">
      <t>シュウシ</t>
    </rPh>
    <rPh sb="3" eb="5">
      <t>サイケイ</t>
    </rPh>
    <phoneticPr fontId="1"/>
  </si>
  <si>
    <t>投資</t>
    <phoneticPr fontId="1"/>
  </si>
  <si>
    <t>貯蓄</t>
    <rPh sb="0" eb="2">
      <t>チョチク</t>
    </rPh>
    <phoneticPr fontId="1"/>
  </si>
  <si>
    <t>Kindle Unlimited</t>
    <phoneticPr fontId="1"/>
  </si>
  <si>
    <t>月</t>
    <rPh sb="0" eb="1">
      <t>ツキ</t>
    </rPh>
    <phoneticPr fontId="1"/>
  </si>
  <si>
    <t>投資（ideco）</t>
    <rPh sb="0" eb="2">
      <t>トウシ</t>
    </rPh>
    <phoneticPr fontId="1"/>
  </si>
  <si>
    <t>教育費</t>
    <rPh sb="0" eb="3">
      <t>キョウイクヒ</t>
    </rPh>
    <phoneticPr fontId="1"/>
  </si>
  <si>
    <t>資産残高</t>
    <rPh sb="0" eb="2">
      <t>シサン</t>
    </rPh>
    <rPh sb="2" eb="4">
      <t>ザンダカ</t>
    </rPh>
    <phoneticPr fontId="1"/>
  </si>
  <si>
    <t>その他（配偶者拠出分等）</t>
    <rPh sb="2" eb="3">
      <t>タ</t>
    </rPh>
    <rPh sb="4" eb="7">
      <t>ハイグウシャ</t>
    </rPh>
    <rPh sb="7" eb="10">
      <t>キョシュツブン</t>
    </rPh>
    <rPh sb="10" eb="11">
      <t>トウ</t>
    </rPh>
    <phoneticPr fontId="1"/>
  </si>
  <si>
    <t>保険</t>
    <phoneticPr fontId="1"/>
  </si>
  <si>
    <t>住宅購入</t>
    <phoneticPr fontId="1"/>
  </si>
  <si>
    <t>家計費</t>
    <phoneticPr fontId="1"/>
  </si>
  <si>
    <t>残額</t>
    <rPh sb="0" eb="2">
      <t>ザンガク</t>
    </rPh>
    <phoneticPr fontId="1"/>
  </si>
  <si>
    <t>割合</t>
    <rPh sb="0" eb="2">
      <t>ワリアイ</t>
    </rPh>
    <phoneticPr fontId="1"/>
  </si>
  <si>
    <t>支出合計</t>
    <rPh sb="0" eb="4">
      <t>シシュツゴウケイ</t>
    </rPh>
    <phoneticPr fontId="1"/>
  </si>
  <si>
    <t>割合</t>
    <rPh sb="0" eb="2">
      <t>ワリアイ</t>
    </rPh>
    <phoneticPr fontId="1"/>
  </si>
  <si>
    <t>子ども特別費</t>
    <rPh sb="3" eb="5">
      <t>トクベツ</t>
    </rPh>
    <rPh sb="5" eb="6">
      <t>ヒ</t>
    </rPh>
    <phoneticPr fontId="1"/>
  </si>
  <si>
    <t>水</t>
    <rPh sb="0" eb="1">
      <t>スイ</t>
    </rPh>
    <phoneticPr fontId="1"/>
  </si>
  <si>
    <t>引越</t>
    <rPh sb="0" eb="2">
      <t>ヒッコシ</t>
    </rPh>
    <phoneticPr fontId="1"/>
  </si>
  <si>
    <t>8月</t>
    <rPh sb="1" eb="2">
      <t>ガツ</t>
    </rPh>
    <phoneticPr fontId="1"/>
  </si>
  <si>
    <t>12月</t>
    <rPh sb="2" eb="3">
      <t>ガツ</t>
    </rPh>
    <phoneticPr fontId="1"/>
  </si>
  <si>
    <t>11月</t>
    <rPh sb="2" eb="3">
      <t>ガツ</t>
    </rPh>
    <phoneticPr fontId="1"/>
  </si>
  <si>
    <t>6月</t>
    <rPh sb="1" eb="2">
      <t>ガツ</t>
    </rPh>
    <phoneticPr fontId="1"/>
  </si>
  <si>
    <t>9月</t>
    <rPh sb="1" eb="2">
      <t>ガツ</t>
    </rPh>
    <phoneticPr fontId="1"/>
  </si>
  <si>
    <t>5月</t>
    <rPh sb="1" eb="2">
      <t>ガツ</t>
    </rPh>
    <phoneticPr fontId="1"/>
  </si>
  <si>
    <t>金</t>
    <phoneticPr fontId="1"/>
  </si>
  <si>
    <t>介護・支援</t>
    <rPh sb="3" eb="5">
      <t>シエン</t>
    </rPh>
    <phoneticPr fontId="1"/>
  </si>
  <si>
    <t>社会保険等</t>
    <rPh sb="0" eb="2">
      <t>シャカイ</t>
    </rPh>
    <rPh sb="2" eb="4">
      <t>ホケン</t>
    </rPh>
    <rPh sb="4" eb="5">
      <t>トウ</t>
    </rPh>
    <phoneticPr fontId="1"/>
  </si>
  <si>
    <t>食費</t>
    <rPh sb="0" eb="2">
      <t>ショクヒ</t>
    </rPh>
    <phoneticPr fontId="1"/>
  </si>
  <si>
    <t>7月</t>
    <rPh sb="1" eb="2">
      <t>ガツ</t>
    </rPh>
    <phoneticPr fontId="1"/>
  </si>
  <si>
    <t>投資（持株会）</t>
    <rPh sb="0" eb="2">
      <t>トウシ</t>
    </rPh>
    <rPh sb="3" eb="6">
      <t>モチカブカイ</t>
    </rPh>
    <phoneticPr fontId="1"/>
  </si>
  <si>
    <t>投資（NISA・特定）</t>
    <rPh sb="0" eb="2">
      <t>トウシ</t>
    </rPh>
    <rPh sb="8" eb="10">
      <t>トクテイ</t>
    </rPh>
    <phoneticPr fontId="1"/>
  </si>
  <si>
    <t>通信費</t>
    <rPh sb="0" eb="3">
      <t>ツウシンヒ</t>
    </rPh>
    <phoneticPr fontId="1"/>
  </si>
  <si>
    <t>食費</t>
    <rPh sb="0" eb="2">
      <t>ショクヒ</t>
    </rPh>
    <phoneticPr fontId="1"/>
  </si>
  <si>
    <t>10月</t>
    <rPh sb="2" eb="3">
      <t>ガツ</t>
    </rPh>
    <phoneticPr fontId="1"/>
  </si>
  <si>
    <t>火</t>
    <phoneticPr fontId="1"/>
  </si>
  <si>
    <t>渋谷→北千住</t>
    <rPh sb="0" eb="2">
      <t>シブヤ</t>
    </rPh>
    <rPh sb="3" eb="6">
      <t>キタセンジュ</t>
    </rPh>
    <phoneticPr fontId="1"/>
  </si>
  <si>
    <t>通信費</t>
    <phoneticPr fontId="1"/>
  </si>
  <si>
    <t>土</t>
    <rPh sb="0" eb="1">
      <t>ド</t>
    </rPh>
    <phoneticPr fontId="1"/>
  </si>
  <si>
    <t>食費</t>
    <rPh sb="0" eb="2">
      <t>ショクヒ</t>
    </rPh>
    <phoneticPr fontId="1"/>
  </si>
  <si>
    <t>交通費</t>
    <rPh sb="0" eb="3">
      <t>コウツウヒ</t>
    </rPh>
    <phoneticPr fontId="1"/>
  </si>
  <si>
    <t>日用品費・消耗品費</t>
    <phoneticPr fontId="1"/>
  </si>
  <si>
    <t>土</t>
    <rPh sb="0" eb="1">
      <t>ド</t>
    </rPh>
    <phoneticPr fontId="1"/>
  </si>
  <si>
    <t>養育費</t>
    <rPh sb="0" eb="3">
      <t>ヨウイクヒ</t>
    </rPh>
    <phoneticPr fontId="1"/>
  </si>
  <si>
    <t>医療費（年間に統合）</t>
    <rPh sb="4" eb="6">
      <t>ネンカン</t>
    </rPh>
    <rPh sb="7" eb="9">
      <t>トウゴウ</t>
    </rPh>
    <phoneticPr fontId="1"/>
  </si>
  <si>
    <t>駐輪代</t>
    <rPh sb="0" eb="3">
      <t>チュウリンダイ</t>
    </rPh>
    <phoneticPr fontId="1"/>
  </si>
  <si>
    <t>飲料水</t>
    <rPh sb="0" eb="3">
      <t>インリョウスイ</t>
    </rPh>
    <phoneticPr fontId="1"/>
  </si>
  <si>
    <t>月</t>
    <rPh sb="0" eb="1">
      <t>ゲツ</t>
    </rPh>
    <phoneticPr fontId="1"/>
  </si>
  <si>
    <t>家具・家電</t>
    <phoneticPr fontId="1"/>
  </si>
  <si>
    <t>年払保険料</t>
    <phoneticPr fontId="1"/>
  </si>
  <si>
    <t>水</t>
    <rPh sb="0" eb="1">
      <t>スイ</t>
    </rPh>
    <phoneticPr fontId="1"/>
  </si>
  <si>
    <t>その他収入</t>
    <phoneticPr fontId="1"/>
  </si>
  <si>
    <t>年金</t>
    <rPh sb="0" eb="2">
      <t>ネンキン</t>
    </rPh>
    <phoneticPr fontId="1"/>
  </si>
  <si>
    <t>日</t>
    <rPh sb="0" eb="1">
      <t>ニチ</t>
    </rPh>
    <phoneticPr fontId="1"/>
  </si>
  <si>
    <t>雑費</t>
    <rPh sb="0" eb="2">
      <t>ザッピ</t>
    </rPh>
    <phoneticPr fontId="1"/>
  </si>
  <si>
    <t>交際費・娯楽費</t>
    <phoneticPr fontId="1"/>
  </si>
  <si>
    <t>養育費</t>
    <phoneticPr fontId="1"/>
  </si>
  <si>
    <t>日</t>
    <rPh sb="0" eb="1">
      <t>ニチ</t>
    </rPh>
    <phoneticPr fontId="1"/>
  </si>
  <si>
    <t>駐輪代</t>
  </si>
  <si>
    <t>セブンイレブン</t>
  </si>
  <si>
    <t>旅行・レジャー</t>
  </si>
  <si>
    <t>交通費</t>
    <rPh sb="0" eb="3">
      <t>コウツウヒ</t>
    </rPh>
    <phoneticPr fontId="9"/>
  </si>
  <si>
    <t>食費</t>
    <rPh sb="0" eb="2">
      <t>ショクヒ</t>
    </rPh>
    <phoneticPr fontId="9"/>
  </si>
  <si>
    <t>旅行・レジャー</t>
    <phoneticPr fontId="1"/>
  </si>
  <si>
    <t>火災保険</t>
    <rPh sb="0" eb="4">
      <t>カサイホケン</t>
    </rPh>
    <phoneticPr fontId="1"/>
  </si>
  <si>
    <t>日用品費・消耗品費</t>
    <phoneticPr fontId="1"/>
  </si>
  <si>
    <t>交通費</t>
    <rPh sb="0" eb="3">
      <t>コウツウヒ</t>
    </rPh>
    <phoneticPr fontId="1"/>
  </si>
  <si>
    <t>駐輪代</t>
    <rPh sb="0" eb="3">
      <t>チュウリンダイ</t>
    </rPh>
    <phoneticPr fontId="1"/>
  </si>
  <si>
    <t>土</t>
    <rPh sb="0" eb="1">
      <t>ド</t>
    </rPh>
    <phoneticPr fontId="1"/>
  </si>
  <si>
    <t>交際費・娯楽費</t>
    <phoneticPr fontId="1"/>
  </si>
  <si>
    <t>日</t>
    <rPh sb="0" eb="1">
      <t>ニチ</t>
    </rPh>
    <phoneticPr fontId="1"/>
  </si>
  <si>
    <t>ゴルフセット</t>
    <phoneticPr fontId="1"/>
  </si>
  <si>
    <t>飲料水</t>
    <rPh sb="0" eb="3">
      <t>インリョウスイ</t>
    </rPh>
    <phoneticPr fontId="1"/>
  </si>
  <si>
    <t>月</t>
    <rPh sb="0" eb="1">
      <t>ゲツ</t>
    </rPh>
    <phoneticPr fontId="1"/>
  </si>
  <si>
    <t>金</t>
    <rPh sb="0" eb="1">
      <t>キン</t>
    </rPh>
    <phoneticPr fontId="1"/>
  </si>
  <si>
    <t>駐輪代</t>
    <rPh sb="0" eb="3">
      <t>チュウリンダイ</t>
    </rPh>
    <phoneticPr fontId="1"/>
  </si>
  <si>
    <t>ダイソー</t>
    <phoneticPr fontId="1"/>
  </si>
  <si>
    <t>金</t>
    <rPh sb="0" eb="1">
      <t>キン</t>
    </rPh>
    <phoneticPr fontId="1"/>
  </si>
  <si>
    <t>人間ドック・医療費</t>
    <phoneticPr fontId="1"/>
  </si>
  <si>
    <t>コンタクトレンズ</t>
    <phoneticPr fontId="1"/>
  </si>
  <si>
    <t>交際費・娯楽費</t>
    <phoneticPr fontId="1"/>
  </si>
  <si>
    <t>交通費</t>
    <rPh sb="0" eb="3">
      <t>コウツウヒ</t>
    </rPh>
    <phoneticPr fontId="1"/>
  </si>
  <si>
    <t>駐輪代</t>
    <rPh sb="0" eb="3">
      <t>チュウリンダイ</t>
    </rPh>
    <phoneticPr fontId="1"/>
  </si>
  <si>
    <t>都区内一日券</t>
    <rPh sb="0" eb="3">
      <t>トクナイ</t>
    </rPh>
    <rPh sb="3" eb="6">
      <t>イチニチケン</t>
    </rPh>
    <phoneticPr fontId="1"/>
  </si>
  <si>
    <t>食費</t>
    <rPh sb="0" eb="2">
      <t>ショクヒ</t>
    </rPh>
    <phoneticPr fontId="1"/>
  </si>
  <si>
    <t>その他</t>
    <rPh sb="2" eb="3">
      <t>タ</t>
    </rPh>
    <phoneticPr fontId="1"/>
  </si>
  <si>
    <t>住民票の写しx2</t>
    <rPh sb="0" eb="3">
      <t>ジュウミンヒョウ</t>
    </rPh>
    <rPh sb="4" eb="5">
      <t>ウツ</t>
    </rPh>
    <phoneticPr fontId="1"/>
  </si>
  <si>
    <t>飲料水</t>
    <rPh sb="0" eb="3">
      <t>インリョウスイ</t>
    </rPh>
    <phoneticPr fontId="1"/>
  </si>
  <si>
    <t>木</t>
    <rPh sb="0" eb="1">
      <t>モク</t>
    </rPh>
    <phoneticPr fontId="1"/>
  </si>
  <si>
    <t>火</t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</si>
  <si>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</si>
  <si>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</si>
  <si>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人間ドック・医療費</t>
    <phoneticPr fontId="1"/>
  </si>
  <si>
    <t>その他収入</t>
    <rPh sb="2" eb="5">
      <t>タシュウニュウ</t>
    </rPh>
    <phoneticPr fontId="1"/>
  </si>
  <si>
    <t>土</t>
    <rPh sb="0" eb="1">
      <t>ド</t>
    </rPh>
    <phoneticPr fontId="1"/>
  </si>
  <si>
    <t>木</t>
    <rPh sb="0" eb="1">
      <t>モク</t>
    </rPh>
    <phoneticPr fontId="1"/>
  </si>
  <si>
    <t>お土産</t>
    <rPh sb="1" eb="3">
      <t>ミヤゲ</t>
    </rPh>
    <phoneticPr fontId="1"/>
  </si>
  <si>
    <t>服飾</t>
    <phoneticPr fontId="1"/>
  </si>
  <si>
    <t>食費</t>
    <rPh sb="0" eb="2">
      <t>ショクヒ</t>
    </rPh>
    <phoneticPr fontId="1"/>
  </si>
  <si>
    <t>交通費</t>
    <rPh sb="0" eb="3">
      <t>コウツウヒ</t>
    </rPh>
    <phoneticPr fontId="1"/>
  </si>
  <si>
    <t>駐輪代</t>
    <rPh sb="0" eb="3">
      <t>チュウリンダイ</t>
    </rPh>
    <phoneticPr fontId="1"/>
  </si>
  <si>
    <t>雑費</t>
    <rPh sb="0" eb="2">
      <t>ザッピ</t>
    </rPh>
    <phoneticPr fontId="1"/>
  </si>
  <si>
    <t>人間ドック</t>
    <rPh sb="0" eb="2">
      <t>ニンゲン</t>
    </rPh>
    <phoneticPr fontId="1"/>
  </si>
  <si>
    <t>月</t>
    <rPh sb="0" eb="1">
      <t>ゲツ</t>
    </rPh>
    <phoneticPr fontId="1"/>
  </si>
  <si>
    <t>飲料水</t>
    <rPh sb="0" eb="3">
      <t>インリョウスイ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</si>
  <si>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</si>
  <si>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</si>
  <si>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レンタルサーバー代</t>
    <rPh sb="8" eb="9">
      <t>ダイ</t>
    </rPh>
    <phoneticPr fontId="1"/>
  </si>
  <si>
    <t>火</t>
    <phoneticPr fontId="1"/>
  </si>
  <si>
    <t>交際費・娯楽費</t>
    <phoneticPr fontId="1"/>
  </si>
  <si>
    <t>交通費</t>
    <rPh sb="0" eb="3">
      <t>コウツウヒ</t>
    </rPh>
    <phoneticPr fontId="1"/>
  </si>
  <si>
    <t>実家支援金</t>
    <phoneticPr fontId="1"/>
  </si>
  <si>
    <t>養育費</t>
  </si>
  <si>
    <t>月</t>
    <rPh sb="0" eb="1">
      <t>ゲツ</t>
    </rPh>
    <phoneticPr fontId="1"/>
  </si>
  <si>
    <t>加賀屋神田店</t>
    <rPh sb="0" eb="3">
      <t>カガヤ</t>
    </rPh>
    <rPh sb="3" eb="6">
      <t>カンダテン</t>
    </rPh>
    <phoneticPr fontId="1"/>
  </si>
  <si>
    <t>交通費</t>
    <rPh sb="0" eb="3">
      <t>コウツウヒ</t>
    </rPh>
    <phoneticPr fontId="1"/>
  </si>
  <si>
    <t>飲料水</t>
    <rPh sb="0" eb="3">
      <t>インリョウスイ</t>
    </rPh>
    <phoneticPr fontId="1"/>
  </si>
  <si>
    <t>水</t>
    <rPh sb="0" eb="1">
      <t>スイ</t>
    </rPh>
    <phoneticPr fontId="1"/>
  </si>
  <si>
    <t>水</t>
    <rPh sb="0" eb="1">
      <t>スイ</t>
    </rPh>
    <phoneticPr fontId="1"/>
  </si>
  <si>
    <t>通信費</t>
    <rPh sb="0" eb="3">
      <t>ツウシンヒ</t>
    </rPh>
    <phoneticPr fontId="1"/>
  </si>
  <si>
    <t>ホグワーツ・レガシー</t>
    <phoneticPr fontId="1"/>
  </si>
  <si>
    <t>木</t>
    <rPh sb="0" eb="1">
      <t>キ</t>
    </rPh>
    <phoneticPr fontId="1"/>
  </si>
  <si>
    <t>ガス代</t>
    <rPh sb="2" eb="3">
      <t>ダイ</t>
    </rPh>
    <phoneticPr fontId="1"/>
  </si>
  <si>
    <t>電気代</t>
    <rPh sb="0" eb="3">
      <t>デンキダイ</t>
    </rPh>
    <phoneticPr fontId="1"/>
  </si>
  <si>
    <t>飲料水</t>
    <rPh sb="0" eb="3">
      <t>インリョウスイ</t>
    </rPh>
    <phoneticPr fontId="1"/>
  </si>
  <si>
    <t>雑費</t>
    <rPh sb="0" eb="2">
      <t>ザッピ</t>
    </rPh>
    <phoneticPr fontId="1"/>
  </si>
  <si>
    <t>土</t>
    <rPh sb="0" eb="1">
      <t>ド</t>
    </rPh>
    <phoneticPr fontId="1"/>
  </si>
  <si>
    <t>ヘルメット</t>
    <phoneticPr fontId="1"/>
  </si>
  <si>
    <t>クリーニング</t>
    <phoneticPr fontId="1"/>
  </si>
  <si>
    <t>土</t>
    <rPh sb="0" eb="1">
      <t>ド</t>
    </rPh>
    <phoneticPr fontId="1"/>
  </si>
  <si>
    <t>駐輪代</t>
    <rPh sb="0" eb="3">
      <t>チュウリンダイ</t>
    </rPh>
    <phoneticPr fontId="1"/>
  </si>
  <si>
    <t>木</t>
    <phoneticPr fontId="1"/>
  </si>
  <si>
    <t>土</t>
    <phoneticPr fontId="1"/>
  </si>
  <si>
    <t>火</t>
    <rPh sb="0" eb="1">
      <t>カ</t>
    </rPh>
    <phoneticPr fontId="1"/>
  </si>
  <si>
    <t>飲料水</t>
    <rPh sb="0" eb="3">
      <t>インリョウスイ</t>
    </rPh>
    <phoneticPr fontId="1"/>
  </si>
  <si>
    <t>火</t>
    <phoneticPr fontId="1"/>
  </si>
  <si>
    <t>確定申告還付金</t>
    <rPh sb="0" eb="4">
      <t>カクテイシンコク</t>
    </rPh>
    <rPh sb="4" eb="7">
      <t>カンプキン</t>
    </rPh>
    <phoneticPr fontId="1"/>
  </si>
  <si>
    <t>火災保険料解約返戻金</t>
    <rPh sb="0" eb="4">
      <t>カサイホケン</t>
    </rPh>
    <rPh sb="4" eb="5">
      <t>リョウ</t>
    </rPh>
    <rPh sb="5" eb="10">
      <t>カイヤクヘンレイキン</t>
    </rPh>
    <phoneticPr fontId="1"/>
  </si>
  <si>
    <t>日</t>
    <rPh sb="0" eb="1">
      <t>ニチ</t>
    </rPh>
    <phoneticPr fontId="1"/>
  </si>
  <si>
    <t>子ども特別費</t>
  </si>
  <si>
    <t>土</t>
    <rPh sb="0" eb="1">
      <t>ド</t>
    </rPh>
    <phoneticPr fontId="1"/>
  </si>
  <si>
    <t>マットレス</t>
    <phoneticPr fontId="1"/>
  </si>
  <si>
    <t>日</t>
    <rPh sb="0" eb="1">
      <t>ニチ</t>
    </rPh>
    <phoneticPr fontId="1"/>
  </si>
  <si>
    <t>月</t>
    <phoneticPr fontId="1"/>
  </si>
  <si>
    <t>日</t>
    <rPh sb="0" eb="1">
      <t>ニチ</t>
    </rPh>
    <phoneticPr fontId="1"/>
  </si>
  <si>
    <t>雑費</t>
    <rPh sb="0" eb="2">
      <t>ザッピ</t>
    </rPh>
    <phoneticPr fontId="1"/>
  </si>
  <si>
    <t>交通費</t>
    <rPh sb="0" eb="3">
      <t>コウツウヒ</t>
    </rPh>
    <phoneticPr fontId="1"/>
  </si>
  <si>
    <t>駐輪代</t>
    <rPh sb="0" eb="3">
      <t>チュウリンダイ</t>
    </rPh>
    <phoneticPr fontId="1"/>
  </si>
  <si>
    <t>電気代</t>
    <rPh sb="0" eb="3">
      <t>デンキダイ</t>
    </rPh>
    <phoneticPr fontId="1"/>
  </si>
  <si>
    <t>ガス代</t>
    <rPh sb="2" eb="3">
      <t>ダイ</t>
    </rPh>
    <phoneticPr fontId="1"/>
  </si>
  <si>
    <t>水道代</t>
    <rPh sb="0" eb="3">
      <t>スイドウダイ</t>
    </rPh>
    <phoneticPr fontId="1"/>
  </si>
  <si>
    <t>水道光熱費</t>
    <rPh sb="0" eb="5">
      <t>スイドウコウネツヒ</t>
    </rPh>
    <phoneticPr fontId="1"/>
  </si>
  <si>
    <t>土</t>
    <rPh sb="0" eb="1">
      <t>ド</t>
    </rPh>
    <phoneticPr fontId="1"/>
  </si>
  <si>
    <t>水</t>
    <rPh sb="0" eb="1">
      <t>スイ</t>
    </rPh>
    <phoneticPr fontId="1"/>
  </si>
  <si>
    <t>飲料水</t>
    <rPh sb="0" eb="3">
      <t>インリョウスイ</t>
    </rPh>
    <phoneticPr fontId="1"/>
  </si>
  <si>
    <t>交通費</t>
    <rPh sb="0" eb="3">
      <t>コウツウヒ</t>
    </rPh>
    <phoneticPr fontId="1"/>
  </si>
  <si>
    <t>駐輪代</t>
    <rPh sb="0" eb="3">
      <t>チュウリンダイ</t>
    </rPh>
    <phoneticPr fontId="1"/>
  </si>
  <si>
    <t>がん保険</t>
    <phoneticPr fontId="1"/>
  </si>
  <si>
    <t>入院保険</t>
    <phoneticPr fontId="1"/>
  </si>
  <si>
    <t>新聞（電子版）</t>
    <phoneticPr fontId="1"/>
  </si>
  <si>
    <t>損害保険（介護）</t>
  </si>
  <si>
    <t>損害保険（介護）</t>
    <rPh sb="5" eb="7">
      <t>カイゴ</t>
    </rPh>
    <phoneticPr fontId="1"/>
  </si>
  <si>
    <t>インターネット</t>
  </si>
  <si>
    <t>A駅→B駅</t>
  </si>
  <si>
    <t>A駅→B駅</t>
    <phoneticPr fontId="1"/>
  </si>
  <si>
    <t>A駅⇔B駅</t>
  </si>
  <si>
    <t>A駅⇔B駅</t>
    <phoneticPr fontId="1"/>
  </si>
  <si>
    <t>ドラッグストア</t>
  </si>
  <si>
    <t>ドーナツ屋</t>
    <rPh sb="4" eb="5">
      <t>ヤ</t>
    </rPh>
    <phoneticPr fontId="1"/>
  </si>
  <si>
    <t>コンビニ</t>
  </si>
  <si>
    <t>レストラン</t>
    <phoneticPr fontId="1"/>
  </si>
  <si>
    <t>ファーストフード</t>
    <phoneticPr fontId="1"/>
  </si>
  <si>
    <t>本</t>
    <rPh sb="0" eb="1">
      <t>ホン</t>
    </rPh>
    <phoneticPr fontId="1"/>
  </si>
  <si>
    <t>雑誌</t>
    <rPh sb="0" eb="2">
      <t>ザッシ</t>
    </rPh>
    <phoneticPr fontId="1"/>
  </si>
  <si>
    <t>耳栓</t>
    <rPh sb="0" eb="2">
      <t>ミミセン</t>
    </rPh>
    <phoneticPr fontId="1"/>
  </si>
  <si>
    <t>駅そば</t>
    <rPh sb="0" eb="1">
      <t>エキ</t>
    </rPh>
    <phoneticPr fontId="1"/>
  </si>
  <si>
    <t>紅茶</t>
    <rPh sb="0" eb="2">
      <t>コウチャ</t>
    </rPh>
    <phoneticPr fontId="1"/>
  </si>
  <si>
    <t>スープ</t>
    <phoneticPr fontId="1"/>
  </si>
  <si>
    <t>電気代</t>
    <rPh sb="0" eb="3">
      <t>デンキダイ</t>
    </rPh>
    <phoneticPr fontId="1"/>
  </si>
  <si>
    <t>ヘアカット</t>
    <phoneticPr fontId="1"/>
  </si>
  <si>
    <t>ラーメン屋</t>
    <rPh sb="4" eb="5">
      <t>ヤ</t>
    </rPh>
    <phoneticPr fontId="1"/>
  </si>
  <si>
    <t>ゲーム</t>
    <phoneticPr fontId="1"/>
  </si>
  <si>
    <t>食堂</t>
    <rPh sb="0" eb="2">
      <t>ショクドウ</t>
    </rPh>
    <phoneticPr fontId="1"/>
  </si>
  <si>
    <t>お菓子</t>
    <rPh sb="1" eb="3">
      <t>カシ</t>
    </rPh>
    <phoneticPr fontId="1"/>
  </si>
  <si>
    <t>カフェラテ</t>
    <phoneticPr fontId="1"/>
  </si>
  <si>
    <t>クリーム</t>
    <phoneticPr fontId="1"/>
  </si>
  <si>
    <t>幼稚園</t>
    <rPh sb="0" eb="3">
      <t>ヨウチエン</t>
    </rPh>
    <phoneticPr fontId="1"/>
  </si>
  <si>
    <t>おもちゃ</t>
    <phoneticPr fontId="1"/>
  </si>
  <si>
    <t>マット</t>
    <phoneticPr fontId="1"/>
  </si>
  <si>
    <t>ジップロック</t>
    <phoneticPr fontId="1"/>
  </si>
  <si>
    <t>寿司屋</t>
    <rPh sb="0" eb="3">
      <t>スシヤ</t>
    </rPh>
    <phoneticPr fontId="1"/>
  </si>
  <si>
    <t>遊園地</t>
    <rPh sb="0" eb="3">
      <t>ユウエンチ</t>
    </rPh>
    <phoneticPr fontId="1"/>
  </si>
  <si>
    <t>焼肉屋</t>
    <rPh sb="0" eb="3">
      <t>ヤキニクヤ</t>
    </rPh>
    <phoneticPr fontId="1"/>
  </si>
  <si>
    <t>日用品</t>
    <rPh sb="0" eb="3">
      <t>ニチヨウヒン</t>
    </rPh>
    <phoneticPr fontId="1"/>
  </si>
  <si>
    <t>宣材</t>
    <rPh sb="0" eb="2">
      <t>センザイ</t>
    </rPh>
    <phoneticPr fontId="1"/>
  </si>
  <si>
    <t>洗剤</t>
    <rPh sb="0" eb="2">
      <t>センザイ</t>
    </rPh>
    <phoneticPr fontId="1"/>
  </si>
  <si>
    <t>シャンプー</t>
    <phoneticPr fontId="1"/>
  </si>
  <si>
    <t>せっけん</t>
    <phoneticPr fontId="1"/>
  </si>
  <si>
    <t>洗顔料</t>
    <rPh sb="0" eb="3">
      <t>センガンリョウ</t>
    </rPh>
    <phoneticPr fontId="1"/>
  </si>
  <si>
    <t>髭剃り</t>
    <rPh sb="0" eb="2">
      <t>ヒゲソ</t>
    </rPh>
    <phoneticPr fontId="1"/>
  </si>
  <si>
    <t>うどん屋</t>
    <rPh sb="3" eb="4">
      <t>ヤ</t>
    </rPh>
    <phoneticPr fontId="1"/>
  </si>
  <si>
    <t>カフェ</t>
    <phoneticPr fontId="1"/>
  </si>
  <si>
    <t>居酒屋</t>
    <rPh sb="0" eb="3">
      <t>イザカヤ</t>
    </rPh>
    <phoneticPr fontId="1"/>
  </si>
  <si>
    <t>100円ショップ</t>
  </si>
  <si>
    <t>100円ショップ</t>
    <rPh sb="3" eb="4">
      <t>エン</t>
    </rPh>
    <phoneticPr fontId="1"/>
  </si>
  <si>
    <t>食品</t>
    <rPh sb="0" eb="2">
      <t>ショクヒン</t>
    </rPh>
    <phoneticPr fontId="1"/>
  </si>
  <si>
    <t>クッション</t>
    <phoneticPr fontId="1"/>
  </si>
  <si>
    <t>通信会社</t>
    <rPh sb="0" eb="4">
      <t>ツウシンカイシャ</t>
    </rPh>
    <phoneticPr fontId="1"/>
  </si>
  <si>
    <t>カレー屋</t>
    <rPh sb="3" eb="4">
      <t>ヤ</t>
    </rPh>
    <phoneticPr fontId="1"/>
  </si>
  <si>
    <t>スマホ代</t>
    <rPh sb="3" eb="4">
      <t>ダイ</t>
    </rPh>
    <phoneticPr fontId="1"/>
  </si>
  <si>
    <t>スマホ代</t>
    <rPh sb="3" eb="4">
      <t>ダイ</t>
    </rPh>
    <phoneticPr fontId="1"/>
  </si>
  <si>
    <t>映画代</t>
    <rPh sb="0" eb="2">
      <t>エイガ</t>
    </rPh>
    <rPh sb="2" eb="3">
      <t>ダイ</t>
    </rPh>
    <phoneticPr fontId="1"/>
  </si>
  <si>
    <t>ぬいぐるみ</t>
    <phoneticPr fontId="1"/>
  </si>
  <si>
    <t>キーホルダー</t>
    <phoneticPr fontId="1"/>
  </si>
  <si>
    <t>博物館</t>
    <rPh sb="0" eb="3">
      <t>ハクブツカン</t>
    </rPh>
    <phoneticPr fontId="1"/>
  </si>
  <si>
    <t>コーヒー</t>
    <phoneticPr fontId="1"/>
  </si>
  <si>
    <t>ガム</t>
    <phoneticPr fontId="1"/>
  </si>
  <si>
    <t>教材</t>
    <rPh sb="0" eb="2">
      <t>キョウザイ</t>
    </rPh>
    <phoneticPr fontId="1"/>
  </si>
  <si>
    <t>コンビニ</t>
    <phoneticPr fontId="1"/>
  </si>
  <si>
    <t>ヘアカット代</t>
    <rPh sb="5" eb="6">
      <t>ダイ</t>
    </rPh>
    <phoneticPr fontId="1"/>
  </si>
  <si>
    <t>シリアル</t>
    <phoneticPr fontId="1"/>
  </si>
  <si>
    <t>カバー</t>
    <phoneticPr fontId="1"/>
  </si>
  <si>
    <t>色画用紙</t>
    <rPh sb="0" eb="4">
      <t>イロガヨウシ</t>
    </rPh>
    <phoneticPr fontId="1"/>
  </si>
  <si>
    <t>パン屋</t>
    <rPh sb="2" eb="3">
      <t>ヤ</t>
    </rPh>
    <phoneticPr fontId="1"/>
  </si>
  <si>
    <t>整髪剤</t>
    <rPh sb="0" eb="3">
      <t>セイハツザイ</t>
    </rPh>
    <phoneticPr fontId="1"/>
  </si>
  <si>
    <t>オリゴ糖</t>
    <rPh sb="3" eb="4">
      <t>トウ</t>
    </rPh>
    <phoneticPr fontId="1"/>
  </si>
  <si>
    <t>おりがみ</t>
    <phoneticPr fontId="1"/>
  </si>
  <si>
    <t>入場券</t>
    <rPh sb="0" eb="3">
      <t>ニュウジョウケン</t>
    </rPh>
    <phoneticPr fontId="1"/>
  </si>
  <si>
    <t>駅そば</t>
    <phoneticPr fontId="1"/>
  </si>
  <si>
    <t>入園券</t>
    <rPh sb="0" eb="3">
      <t>ニュウエンケン</t>
    </rPh>
    <phoneticPr fontId="1"/>
  </si>
  <si>
    <t>バス</t>
    <phoneticPr fontId="1"/>
  </si>
  <si>
    <t>ファーストフード</t>
    <phoneticPr fontId="1"/>
  </si>
  <si>
    <t>そば屋</t>
    <rPh sb="2" eb="3">
      <t>ヤ</t>
    </rPh>
    <phoneticPr fontId="1"/>
  </si>
  <si>
    <t>カフェ</t>
    <phoneticPr fontId="1"/>
  </si>
  <si>
    <t>拝観料</t>
    <rPh sb="0" eb="3">
      <t>ハイカンリョウ</t>
    </rPh>
    <phoneticPr fontId="1"/>
  </si>
  <si>
    <t>USBポート</t>
    <phoneticPr fontId="1"/>
  </si>
  <si>
    <t>ホームセンター</t>
    <phoneticPr fontId="1"/>
  </si>
  <si>
    <t>紙</t>
    <rPh sb="0" eb="1">
      <t>カミ</t>
    </rPh>
    <phoneticPr fontId="1"/>
  </si>
  <si>
    <t>消臭剤</t>
    <rPh sb="0" eb="3">
      <t>ショウシュウザイ</t>
    </rPh>
    <phoneticPr fontId="1"/>
  </si>
  <si>
    <t>防虫剤</t>
    <rPh sb="0" eb="3">
      <t>ボウチュウザイ</t>
    </rPh>
    <phoneticPr fontId="1"/>
  </si>
  <si>
    <t>機能食品</t>
    <rPh sb="0" eb="4">
      <t>キノウショクヒン</t>
    </rPh>
    <phoneticPr fontId="1"/>
  </si>
  <si>
    <t>実験セット</t>
    <rPh sb="0" eb="2">
      <t>ジッケン</t>
    </rPh>
    <phoneticPr fontId="1"/>
  </si>
  <si>
    <t>屋内施設</t>
    <rPh sb="0" eb="4">
      <t>オクナイシセツ</t>
    </rPh>
    <phoneticPr fontId="1"/>
  </si>
  <si>
    <t>ジップロック</t>
    <phoneticPr fontId="1"/>
  </si>
  <si>
    <t>調味料</t>
    <rPh sb="0" eb="3">
      <t>チョウミリョウ</t>
    </rPh>
    <phoneticPr fontId="1"/>
  </si>
  <si>
    <t>ハブラシ</t>
    <phoneticPr fontId="1"/>
  </si>
  <si>
    <t>ティッシュ</t>
    <phoneticPr fontId="1"/>
  </si>
  <si>
    <t>アイス</t>
    <phoneticPr fontId="1"/>
  </si>
  <si>
    <t>弁当</t>
    <rPh sb="0" eb="2">
      <t>ベントウ</t>
    </rPh>
    <phoneticPr fontId="1"/>
  </si>
  <si>
    <t>年間受信料</t>
    <rPh sb="0" eb="5">
      <t>ネンカンジュシンリョウ</t>
    </rPh>
    <phoneticPr fontId="1"/>
  </si>
  <si>
    <t>習い事</t>
  </si>
  <si>
    <t>体重計</t>
    <rPh sb="0" eb="3">
      <t>タイジュウケイ</t>
    </rPh>
    <phoneticPr fontId="1"/>
  </si>
  <si>
    <t>体操教室</t>
  </si>
  <si>
    <t>リヤカー</t>
    <phoneticPr fontId="1"/>
  </si>
  <si>
    <t>旅行</t>
    <rPh sb="0" eb="2">
      <t>リョコウ</t>
    </rPh>
    <phoneticPr fontId="1"/>
  </si>
  <si>
    <t>ウイルス対策ソフト</t>
    <rPh sb="4" eb="6">
      <t>タイサク</t>
    </rPh>
    <phoneticPr fontId="1"/>
  </si>
  <si>
    <t>保護マット</t>
    <rPh sb="0" eb="2">
      <t>ホゴ</t>
    </rPh>
    <phoneticPr fontId="1"/>
  </si>
  <si>
    <t>モバイルバッテリー</t>
    <phoneticPr fontId="1"/>
  </si>
  <si>
    <t>デスク</t>
    <phoneticPr fontId="1"/>
  </si>
  <si>
    <t>電源タップ</t>
    <phoneticPr fontId="1"/>
  </si>
  <si>
    <t>家具処分</t>
    <rPh sb="0" eb="4">
      <t>カグショブン</t>
    </rPh>
    <phoneticPr fontId="1"/>
  </si>
  <si>
    <t>テーブル</t>
    <phoneticPr fontId="1"/>
  </si>
  <si>
    <t>栄養剤</t>
    <rPh sb="0" eb="3">
      <t>エイヨウザイ</t>
    </rPh>
    <phoneticPr fontId="1"/>
  </si>
  <si>
    <t>通院</t>
    <rPh sb="0" eb="2">
      <t>ツウイン</t>
    </rPh>
    <phoneticPr fontId="1"/>
  </si>
  <si>
    <t>処方箋</t>
    <phoneticPr fontId="1"/>
  </si>
  <si>
    <t>損害保険</t>
    <rPh sb="0" eb="4">
      <t>ソンガイホケン</t>
    </rPh>
    <phoneticPr fontId="1"/>
  </si>
  <si>
    <t>サイトドメイン代</t>
    <rPh sb="7" eb="8">
      <t>ダイ</t>
    </rPh>
    <phoneticPr fontId="1"/>
  </si>
  <si>
    <t>映像用機器</t>
    <rPh sb="0" eb="3">
      <t>エイゾウヨウ</t>
    </rPh>
    <rPh sb="3" eb="5">
      <t>キキ</t>
    </rPh>
    <phoneticPr fontId="1"/>
  </si>
  <si>
    <t>リモコン</t>
    <phoneticPr fontId="1"/>
  </si>
  <si>
    <t>服</t>
    <rPh sb="0" eb="1">
      <t>フク</t>
    </rPh>
    <phoneticPr fontId="1"/>
  </si>
  <si>
    <t>ゴミ箱</t>
    <rPh sb="2" eb="3">
      <t>バコ</t>
    </rPh>
    <phoneticPr fontId="1"/>
  </si>
  <si>
    <t>保護フィルム</t>
    <rPh sb="0" eb="2">
      <t>ホゴ</t>
    </rPh>
    <phoneticPr fontId="1"/>
  </si>
  <si>
    <t>薬</t>
    <rPh sb="0" eb="1">
      <t>クスリ</t>
    </rPh>
    <phoneticPr fontId="1"/>
  </si>
  <si>
    <t>前半分</t>
    <phoneticPr fontId="1"/>
  </si>
  <si>
    <t>習い事</t>
    <phoneticPr fontId="1"/>
  </si>
  <si>
    <t>2回目</t>
    <rPh sb="1" eb="3">
      <t>カイメ</t>
    </rPh>
    <phoneticPr fontId="1"/>
  </si>
  <si>
    <t>1回目</t>
    <rPh sb="1" eb="3">
      <t>カイメ</t>
    </rPh>
    <phoneticPr fontId="1"/>
  </si>
  <si>
    <t>スチールラック</t>
    <phoneticPr fontId="1"/>
  </si>
  <si>
    <t>バスタオル</t>
    <phoneticPr fontId="1"/>
  </si>
  <si>
    <t>印鑑</t>
    <rPh sb="0" eb="2">
      <t>インカン</t>
    </rPh>
    <phoneticPr fontId="1"/>
  </si>
  <si>
    <t>Webサービス</t>
    <phoneticPr fontId="1"/>
  </si>
  <si>
    <t>本</t>
    <rPh sb="0" eb="1">
      <t>ホン</t>
    </rPh>
    <phoneticPr fontId="1"/>
  </si>
  <si>
    <t>靴</t>
    <rPh sb="0" eb="1">
      <t>クツ</t>
    </rPh>
    <phoneticPr fontId="1"/>
  </si>
  <si>
    <t>マウス</t>
    <phoneticPr fontId="1"/>
  </si>
  <si>
    <t>買取業者A</t>
    <rPh sb="0" eb="4">
      <t>カイトリギョウシャ</t>
    </rPh>
    <phoneticPr fontId="1"/>
  </si>
  <si>
    <t>買取業者B</t>
    <rPh sb="0" eb="4">
      <t>カイトリギョウシャ</t>
    </rPh>
    <phoneticPr fontId="1"/>
  </si>
  <si>
    <t>買取業者C</t>
    <rPh sb="0" eb="4">
      <t>カイトリギョウシャ</t>
    </rPh>
    <phoneticPr fontId="1"/>
  </si>
  <si>
    <t>本、CD7</t>
    <rPh sb="0" eb="1">
      <t>ホン</t>
    </rPh>
    <phoneticPr fontId="1"/>
  </si>
  <si>
    <t>靴、金券、モニター</t>
    <rPh sb="0" eb="1">
      <t>クツ</t>
    </rPh>
    <phoneticPr fontId="1"/>
  </si>
  <si>
    <t>バンドグッズ</t>
    <phoneticPr fontId="1"/>
  </si>
  <si>
    <t>買取業者D</t>
    <rPh sb="0" eb="4">
      <t>カイトリギョウシャ</t>
    </rPh>
    <phoneticPr fontId="1"/>
  </si>
  <si>
    <t>買取業者E</t>
    <rPh sb="0" eb="4">
      <t>カイトリギョウシャ</t>
    </rPh>
    <phoneticPr fontId="1"/>
  </si>
  <si>
    <t>【予定】</t>
    <rPh sb="1" eb="3">
      <t>ヨテイ</t>
    </rPh>
    <phoneticPr fontId="1"/>
  </si>
  <si>
    <t>【実績】</t>
    <rPh sb="1" eb="3">
      <t>ジッセキ</t>
    </rPh>
    <phoneticPr fontId="1"/>
  </si>
  <si>
    <t>【費用細目】</t>
    <rPh sb="1" eb="3">
      <t>ヒヨウ</t>
    </rPh>
    <rPh sb="3" eb="5">
      <t>サイモク</t>
    </rPh>
    <phoneticPr fontId="1"/>
  </si>
  <si>
    <t>【旅行細目】</t>
    <rPh sb="1" eb="3">
      <t>リョコウ</t>
    </rPh>
    <rPh sb="3" eb="5">
      <t>サイモク</t>
    </rPh>
    <phoneticPr fontId="1"/>
  </si>
  <si>
    <t>【その他収入細目】</t>
    <rPh sb="3" eb="4">
      <t>タ</t>
    </rPh>
    <rPh sb="4" eb="6">
      <t>シュウニュウ</t>
    </rPh>
    <rPh sb="6" eb="8">
      <t>サイモク</t>
    </rPh>
    <phoneticPr fontId="1"/>
  </si>
  <si>
    <t>【家計費総括表】</t>
    <rPh sb="1" eb="4">
      <t>カケイヒ</t>
    </rPh>
    <rPh sb="4" eb="7">
      <t>ソウカツヒョウ</t>
    </rPh>
    <phoneticPr fontId="1"/>
  </si>
  <si>
    <t>【家計費総括表（簡易版）】</t>
    <rPh sb="1" eb="4">
      <t>カケイヒ</t>
    </rPh>
    <rPh sb="4" eb="7">
      <t>ソウカツヒョウ</t>
    </rPh>
    <rPh sb="8" eb="11">
      <t>カンイバン</t>
    </rPh>
    <phoneticPr fontId="1"/>
  </si>
  <si>
    <t>【生涯設計集計用】</t>
    <rPh sb="1" eb="3">
      <t>ショウガイ</t>
    </rPh>
    <rPh sb="3" eb="5">
      <t>セッケイ</t>
    </rPh>
    <rPh sb="5" eb="8">
      <t>シュウケイヨウ</t>
    </rPh>
    <phoneticPr fontId="1"/>
  </si>
  <si>
    <t>【年単位支出総括表（単位：万円）】</t>
    <rPh sb="1" eb="4">
      <t>ネンタンイ</t>
    </rPh>
    <rPh sb="4" eb="6">
      <t>シシュツ</t>
    </rPh>
    <rPh sb="6" eb="9">
      <t>ソウカツヒョウ</t>
    </rPh>
    <rPh sb="10" eb="12">
      <t>タンイ</t>
    </rPh>
    <rPh sb="13" eb="15">
      <t>マンエン</t>
    </rPh>
    <phoneticPr fontId="1"/>
  </si>
  <si>
    <t>一時支出</t>
    <rPh sb="0" eb="2">
      <t>イチジ</t>
    </rPh>
    <rPh sb="2" eb="4">
      <t>シシュツ</t>
    </rPh>
    <phoneticPr fontId="1"/>
  </si>
  <si>
    <t>眼科</t>
    <rPh sb="0" eb="2">
      <t>ガンカ</t>
    </rPh>
    <phoneticPr fontId="1"/>
  </si>
  <si>
    <t>目標</t>
    <rPh sb="0" eb="2">
      <t>モクヒョウ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</si>
</sst>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_ ;[Red]\-#,##0\ "/>
    <numFmt numFmtId="178" formatCode="#,##0_);[Red]\(#,##0\)"/>
    <numFmt numFmtId="179" formatCode="0.0_ "/>
    <numFmt numFmtId="180" formatCode="0_ ;[Red]\-0\ "/>
    <numFmt numFmtId="181" formatCode="0.0%"/>
    <numFmt numFmtId="182" formatCode="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2"/>
      <color rgb="FFFFFFFF"/>
      <name val="Meiryo UI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2"/>
      <color theme="9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1"/>
      <color rgb="FF3F3F3F"/>
      <name val="游ゴシック"/>
      <family val="2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40">
    <border>
      <left/>
      <right/>
      <top/>
      <bottom/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textRotation="255"/>
    </xf>
    <xf numFmtId="0" fontId="0" fillId="0" borderId="8" xfId="0" applyBorder="1">
      <alignment vertical="center"/>
    </xf>
    <xf numFmtId="0" fontId="0" fillId="3" borderId="8" xfId="0" applyFill="1" applyBorder="1">
      <alignment vertical="center"/>
    </xf>
    <xf numFmtId="0" fontId="0" fillId="6" borderId="8" xfId="0" applyFill="1" applyBorder="1">
      <alignment vertical="center"/>
    </xf>
    <xf numFmtId="0" fontId="0" fillId="7" borderId="8" xfId="0" applyFill="1" applyBorder="1">
      <alignment vertical="center"/>
    </xf>
    <xf numFmtId="0" fontId="0" fillId="4" borderId="8" xfId="0" applyFill="1" applyBorder="1">
      <alignment vertical="center"/>
    </xf>
    <xf numFmtId="0" fontId="0" fillId="9" borderId="8" xfId="0" applyFill="1" applyBorder="1">
      <alignment vertical="center"/>
    </xf>
    <xf numFmtId="0" fontId="0" fillId="10" borderId="8" xfId="0" applyFill="1" applyBorder="1">
      <alignment vertical="center"/>
    </xf>
    <xf numFmtId="0" fontId="4" fillId="5" borderId="8" xfId="0" applyFont="1" applyFill="1" applyBorder="1">
      <alignment vertical="center"/>
    </xf>
    <xf numFmtId="0" fontId="2" fillId="4" borderId="5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vertical="center" wrapText="1"/>
    </xf>
    <xf numFmtId="0" fontId="2" fillId="8" borderId="7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56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0" fillId="7" borderId="0" xfId="0" applyFill="1">
      <alignment vertical="center"/>
    </xf>
    <xf numFmtId="0" fontId="0" fillId="7" borderId="0" xfId="0" applyFill="1" applyAlignment="1">
      <alignment vertical="center" shrinkToFit="1"/>
    </xf>
    <xf numFmtId="9" fontId="0" fillId="0" borderId="8" xfId="0" applyNumberFormat="1" applyBorder="1">
      <alignment vertical="center"/>
    </xf>
    <xf numFmtId="177" fontId="0" fillId="6" borderId="8" xfId="0" applyNumberFormat="1" applyFill="1" applyBorder="1">
      <alignment vertical="center"/>
    </xf>
    <xf numFmtId="177" fontId="0" fillId="0" borderId="8" xfId="0" applyNumberFormat="1" applyBorder="1">
      <alignment vertical="center"/>
    </xf>
    <xf numFmtId="177" fontId="0" fillId="0" borderId="0" xfId="0" applyNumberFormat="1">
      <alignment vertical="center"/>
    </xf>
    <xf numFmtId="0" fontId="0" fillId="13" borderId="8" xfId="0" applyFill="1" applyBorder="1">
      <alignment vertical="center"/>
    </xf>
    <xf numFmtId="178" fontId="0" fillId="0" borderId="0" xfId="0" applyNumberFormat="1">
      <alignment vertical="center"/>
    </xf>
    <xf numFmtId="178" fontId="0" fillId="7" borderId="0" xfId="0" applyNumberFormat="1" applyFill="1">
      <alignment vertical="center"/>
    </xf>
    <xf numFmtId="178" fontId="0" fillId="0" borderId="8" xfId="0" applyNumberFormat="1" applyBorder="1">
      <alignment vertical="center"/>
    </xf>
    <xf numFmtId="179" fontId="0" fillId="0" borderId="8" xfId="0" applyNumberFormat="1" applyBorder="1">
      <alignment vertical="center"/>
    </xf>
    <xf numFmtId="0" fontId="0" fillId="14" borderId="8" xfId="0" applyFill="1" applyBorder="1">
      <alignment vertical="center"/>
    </xf>
    <xf numFmtId="179" fontId="0" fillId="14" borderId="8" xfId="0" applyNumberFormat="1" applyFill="1" applyBorder="1">
      <alignment vertical="center"/>
    </xf>
    <xf numFmtId="179" fontId="0" fillId="3" borderId="8" xfId="0" applyNumberFormat="1" applyFill="1" applyBorder="1">
      <alignment vertical="center"/>
    </xf>
    <xf numFmtId="180" fontId="2" fillId="2" borderId="3" xfId="0" applyNumberFormat="1" applyFont="1" applyFill="1" applyBorder="1" applyAlignment="1">
      <alignment horizontal="center" vertical="center" wrapText="1"/>
    </xf>
    <xf numFmtId="180" fontId="5" fillId="2" borderId="3" xfId="0" applyNumberFormat="1" applyFont="1" applyFill="1" applyBorder="1" applyAlignment="1">
      <alignment horizontal="center" vertical="center" wrapText="1"/>
    </xf>
    <xf numFmtId="180" fontId="5" fillId="2" borderId="1" xfId="0" applyNumberFormat="1" applyFont="1" applyFill="1" applyBorder="1" applyAlignment="1">
      <alignment horizontal="center" vertical="center" wrapText="1"/>
    </xf>
    <xf numFmtId="180" fontId="5" fillId="9" borderId="1" xfId="0" applyNumberFormat="1" applyFont="1" applyFill="1" applyBorder="1" applyAlignment="1">
      <alignment horizontal="center" vertical="center" wrapText="1"/>
    </xf>
    <xf numFmtId="180" fontId="5" fillId="3" borderId="1" xfId="0" applyNumberFormat="1" applyFont="1" applyFill="1" applyBorder="1" applyAlignment="1">
      <alignment horizontal="center" vertical="center" wrapText="1"/>
    </xf>
    <xf numFmtId="180" fontId="5" fillId="11" borderId="1" xfId="0" applyNumberFormat="1" applyFont="1" applyFill="1" applyBorder="1" applyAlignment="1">
      <alignment horizontal="center" vertical="center" wrapText="1"/>
    </xf>
    <xf numFmtId="176" fontId="0" fillId="0" borderId="8" xfId="0" applyNumberFormat="1" applyBorder="1">
      <alignment vertical="center"/>
    </xf>
    <xf numFmtId="177" fontId="0" fillId="13" borderId="8" xfId="0" applyNumberFormat="1" applyFill="1" applyBorder="1">
      <alignment vertical="center"/>
    </xf>
    <xf numFmtId="56" fontId="0" fillId="0" borderId="8" xfId="0" applyNumberFormat="1" applyBorder="1">
      <alignment vertical="center"/>
    </xf>
    <xf numFmtId="9" fontId="0" fillId="13" borderId="8" xfId="0" applyNumberFormat="1" applyFill="1" applyBorder="1">
      <alignment vertical="center"/>
    </xf>
    <xf numFmtId="0" fontId="0" fillId="8" borderId="11" xfId="0" applyFill="1" applyBorder="1">
      <alignment vertical="center"/>
    </xf>
    <xf numFmtId="0" fontId="0" fillId="9" borderId="12" xfId="0" applyFill="1" applyBorder="1">
      <alignment vertical="center"/>
    </xf>
    <xf numFmtId="0" fontId="0" fillId="0" borderId="12" xfId="0" applyBorder="1">
      <alignment vertical="center"/>
    </xf>
    <xf numFmtId="179" fontId="0" fillId="0" borderId="12" xfId="0" applyNumberFormat="1" applyBorder="1">
      <alignment vertical="center"/>
    </xf>
    <xf numFmtId="0" fontId="0" fillId="0" borderId="17" xfId="0" applyBorder="1">
      <alignment vertical="center"/>
    </xf>
    <xf numFmtId="179" fontId="0" fillId="0" borderId="17" xfId="0" applyNumberFormat="1" applyBorder="1">
      <alignment vertical="center"/>
    </xf>
    <xf numFmtId="0" fontId="0" fillId="0" borderId="20" xfId="0" applyBorder="1">
      <alignment vertical="center"/>
    </xf>
    <xf numFmtId="179" fontId="0" fillId="0" borderId="20" xfId="0" applyNumberFormat="1" applyBorder="1">
      <alignment vertical="center"/>
    </xf>
    <xf numFmtId="181" fontId="0" fillId="0" borderId="17" xfId="0" applyNumberFormat="1" applyBorder="1">
      <alignment vertical="center"/>
    </xf>
    <xf numFmtId="181" fontId="0" fillId="0" borderId="8" xfId="0" applyNumberFormat="1" applyBorder="1">
      <alignment vertical="center"/>
    </xf>
    <xf numFmtId="181" fontId="0" fillId="0" borderId="20" xfId="0" applyNumberFormat="1" applyBorder="1">
      <alignment vertical="center"/>
    </xf>
    <xf numFmtId="181" fontId="0" fillId="0" borderId="12" xfId="0" applyNumberFormat="1" applyBorder="1">
      <alignment vertical="center"/>
    </xf>
    <xf numFmtId="181" fontId="0" fillId="14" borderId="8" xfId="0" applyNumberFormat="1" applyFill="1" applyBorder="1">
      <alignment vertical="center"/>
    </xf>
    <xf numFmtId="181" fontId="0" fillId="3" borderId="8" xfId="0" applyNumberFormat="1" applyFill="1" applyBorder="1">
      <alignment vertical="center"/>
    </xf>
    <xf numFmtId="0" fontId="6" fillId="5" borderId="8" xfId="0" applyFont="1" applyFill="1" applyBorder="1">
      <alignment vertical="center"/>
    </xf>
    <xf numFmtId="0" fontId="6" fillId="10" borderId="8" xfId="0" applyFont="1" applyFill="1" applyBorder="1">
      <alignment vertical="center"/>
    </xf>
    <xf numFmtId="0" fontId="6" fillId="11" borderId="10" xfId="0" applyFont="1" applyFill="1" applyBorder="1">
      <alignment vertical="center"/>
    </xf>
    <xf numFmtId="177" fontId="6" fillId="6" borderId="8" xfId="0" applyNumberFormat="1" applyFont="1" applyFill="1" applyBorder="1">
      <alignment vertical="center"/>
    </xf>
    <xf numFmtId="0" fontId="6" fillId="7" borderId="8" xfId="0" applyFont="1" applyFill="1" applyBorder="1">
      <alignment vertical="center"/>
    </xf>
    <xf numFmtId="177" fontId="6" fillId="0" borderId="8" xfId="0" applyNumberFormat="1" applyFont="1" applyBorder="1">
      <alignment vertical="center"/>
    </xf>
    <xf numFmtId="0" fontId="6" fillId="8" borderId="8" xfId="0" applyFont="1" applyFill="1" applyBorder="1">
      <alignment vertical="center"/>
    </xf>
    <xf numFmtId="0" fontId="6" fillId="4" borderId="8" xfId="0" applyFont="1" applyFill="1" applyBorder="1">
      <alignment vertical="center"/>
    </xf>
    <xf numFmtId="0" fontId="6" fillId="11" borderId="9" xfId="0" applyFont="1" applyFill="1" applyBorder="1">
      <alignment vertical="center"/>
    </xf>
    <xf numFmtId="0" fontId="0" fillId="0" borderId="8" xfId="0" applyBorder="1" applyAlignment="1">
      <alignment vertical="center" shrinkToFit="1"/>
    </xf>
    <xf numFmtId="0" fontId="6" fillId="6" borderId="9" xfId="0" applyFont="1" applyFill="1" applyBorder="1">
      <alignment vertical="center"/>
    </xf>
    <xf numFmtId="0" fontId="6" fillId="6" borderId="10" xfId="0" applyFont="1" applyFill="1" applyBorder="1">
      <alignment vertical="center"/>
    </xf>
    <xf numFmtId="0" fontId="6" fillId="12" borderId="9" xfId="0" applyFont="1" applyFill="1" applyBorder="1">
      <alignment vertical="center"/>
    </xf>
    <xf numFmtId="0" fontId="6" fillId="12" borderId="10" xfId="0" applyFont="1" applyFill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0" fontId="0" fillId="0" borderId="12" xfId="0" applyBorder="1" applyAlignment="1">
      <alignment vertical="center" shrinkToFit="1"/>
    </xf>
    <xf numFmtId="0" fontId="0" fillId="7" borderId="20" xfId="0" applyFill="1" applyBorder="1">
      <alignment vertical="center"/>
    </xf>
    <xf numFmtId="0" fontId="0" fillId="7" borderId="20" xfId="0" applyFill="1" applyBorder="1" applyAlignment="1">
      <alignment vertical="center" shrinkToFit="1"/>
    </xf>
    <xf numFmtId="178" fontId="0" fillId="7" borderId="20" xfId="0" applyNumberFormat="1" applyFill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176" fontId="0" fillId="7" borderId="8" xfId="0" applyNumberFormat="1" applyFill="1" applyBorder="1" applyAlignment="1">
      <alignment vertical="center" shrinkToFit="1"/>
    </xf>
    <xf numFmtId="0" fontId="2" fillId="6" borderId="5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7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shrinkToFit="1"/>
    </xf>
    <xf numFmtId="180" fontId="7" fillId="2" borderId="3" xfId="0" applyNumberFormat="1" applyFont="1" applyFill="1" applyBorder="1" applyAlignment="1">
      <alignment horizontal="center" vertical="center" wrapText="1"/>
    </xf>
    <xf numFmtId="180" fontId="7" fillId="2" borderId="1" xfId="0" applyNumberFormat="1" applyFont="1" applyFill="1" applyBorder="1" applyAlignment="1">
      <alignment horizontal="center" vertical="center" wrapText="1"/>
    </xf>
    <xf numFmtId="180" fontId="7" fillId="9" borderId="1" xfId="0" applyNumberFormat="1" applyFont="1" applyFill="1" applyBorder="1" applyAlignment="1">
      <alignment horizontal="center" vertical="center" wrapText="1"/>
    </xf>
    <xf numFmtId="180" fontId="8" fillId="15" borderId="1" xfId="0" applyNumberFormat="1" applyFont="1" applyFill="1" applyBorder="1" applyAlignment="1">
      <alignment horizontal="center" vertical="center" wrapText="1"/>
    </xf>
    <xf numFmtId="180" fontId="7" fillId="3" borderId="1" xfId="0" applyNumberFormat="1" applyFont="1" applyFill="1" applyBorder="1" applyAlignment="1">
      <alignment horizontal="center" vertical="center" wrapText="1"/>
    </xf>
    <xf numFmtId="180" fontId="2" fillId="0" borderId="0" xfId="0" applyNumberFormat="1" applyFont="1">
      <alignment vertical="center"/>
    </xf>
    <xf numFmtId="0" fontId="2" fillId="4" borderId="3" xfId="0" applyFont="1" applyFill="1" applyBorder="1" applyAlignment="1">
      <alignment vertical="center" shrinkToFit="1"/>
    </xf>
    <xf numFmtId="0" fontId="2" fillId="9" borderId="1" xfId="0" applyFont="1" applyFill="1" applyBorder="1" applyAlignment="1">
      <alignment vertical="center" shrinkToFit="1"/>
    </xf>
    <xf numFmtId="0" fontId="2" fillId="7" borderId="1" xfId="0" applyFont="1" applyFill="1" applyBorder="1" applyAlignment="1">
      <alignment vertical="center" shrinkToFit="1"/>
    </xf>
    <xf numFmtId="0" fontId="2" fillId="9" borderId="3" xfId="0" applyFont="1" applyFill="1" applyBorder="1" applyAlignment="1">
      <alignment vertical="center" shrinkToFit="1"/>
    </xf>
    <xf numFmtId="0" fontId="2" fillId="9" borderId="2" xfId="0" applyFont="1" applyFill="1" applyBorder="1" applyAlignment="1">
      <alignment vertical="center" shrinkToFit="1"/>
    </xf>
    <xf numFmtId="0" fontId="2" fillId="3" borderId="1" xfId="0" applyFont="1" applyFill="1" applyBorder="1" applyAlignment="1">
      <alignment vertical="center" shrinkToFit="1"/>
    </xf>
    <xf numFmtId="0" fontId="2" fillId="3" borderId="3" xfId="0" applyFont="1" applyFill="1" applyBorder="1" applyAlignment="1">
      <alignment vertical="center" shrinkToFit="1"/>
    </xf>
    <xf numFmtId="0" fontId="2" fillId="11" borderId="2" xfId="0" applyFont="1" applyFill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3" borderId="2" xfId="0" applyFont="1" applyFill="1" applyBorder="1" applyAlignment="1">
      <alignment vertical="center" shrinkToFit="1"/>
    </xf>
    <xf numFmtId="178" fontId="0" fillId="0" borderId="12" xfId="0" applyNumberFormat="1" applyBorder="1" applyAlignment="1">
      <alignment vertical="center" shrinkToFit="1"/>
    </xf>
    <xf numFmtId="178" fontId="0" fillId="0" borderId="8" xfId="0" applyNumberFormat="1" applyBorder="1" applyAlignment="1">
      <alignment vertical="center" shrinkToFit="1"/>
    </xf>
    <xf numFmtId="178" fontId="0" fillId="14" borderId="8" xfId="0" applyNumberFormat="1" applyFill="1" applyBorder="1" applyAlignment="1">
      <alignment vertical="center" shrinkToFit="1"/>
    </xf>
    <xf numFmtId="178" fontId="0" fillId="3" borderId="8" xfId="0" applyNumberFormat="1" applyFill="1" applyBorder="1" applyAlignment="1">
      <alignment vertical="center" shrinkToFit="1"/>
    </xf>
    <xf numFmtId="178" fontId="0" fillId="4" borderId="8" xfId="0" applyNumberFormat="1" applyFill="1" applyBorder="1" applyAlignment="1">
      <alignment vertical="center" shrinkToFit="1"/>
    </xf>
    <xf numFmtId="178" fontId="0" fillId="11" borderId="15" xfId="0" applyNumberFormat="1" applyFill="1" applyBorder="1" applyAlignment="1">
      <alignment vertical="center" shrinkToFit="1"/>
    </xf>
    <xf numFmtId="178" fontId="0" fillId="11" borderId="22" xfId="0" applyNumberFormat="1" applyFill="1" applyBorder="1" applyAlignment="1">
      <alignment vertical="center" shrinkToFit="1"/>
    </xf>
    <xf numFmtId="178" fontId="0" fillId="11" borderId="9" xfId="0" applyNumberFormat="1" applyFill="1" applyBorder="1" applyAlignment="1">
      <alignment vertical="center" shrinkToFit="1"/>
    </xf>
    <xf numFmtId="178" fontId="0" fillId="11" borderId="26" xfId="0" applyNumberFormat="1" applyFill="1" applyBorder="1" applyAlignment="1">
      <alignment vertical="center" shrinkToFit="1"/>
    </xf>
    <xf numFmtId="0" fontId="0" fillId="16" borderId="22" xfId="0" applyFill="1" applyBorder="1">
      <alignment vertical="center"/>
    </xf>
    <xf numFmtId="0" fontId="0" fillId="16" borderId="23" xfId="0" applyFill="1" applyBorder="1">
      <alignment vertical="center"/>
    </xf>
    <xf numFmtId="178" fontId="0" fillId="5" borderId="20" xfId="0" applyNumberFormat="1" applyFill="1" applyBorder="1" applyAlignment="1">
      <alignment vertical="center" shrinkToFit="1"/>
    </xf>
    <xf numFmtId="178" fontId="0" fillId="4" borderId="12" xfId="0" applyNumberFormat="1" applyFill="1" applyBorder="1" applyAlignment="1">
      <alignment vertical="center" shrinkToFit="1"/>
    </xf>
    <xf numFmtId="178" fontId="0" fillId="0" borderId="17" xfId="0" applyNumberFormat="1" applyBorder="1" applyAlignment="1">
      <alignment vertical="center" shrinkToFit="1"/>
    </xf>
    <xf numFmtId="0" fontId="2" fillId="17" borderId="1" xfId="0" applyFont="1" applyFill="1" applyBorder="1" applyAlignment="1">
      <alignment horizontal="center" vertical="center" wrapText="1"/>
    </xf>
    <xf numFmtId="180" fontId="2" fillId="17" borderId="3" xfId="0" applyNumberFormat="1" applyFont="1" applyFill="1" applyBorder="1" applyAlignment="1">
      <alignment horizontal="center" vertical="center" wrapText="1"/>
    </xf>
    <xf numFmtId="180" fontId="2" fillId="17" borderId="1" xfId="0" applyNumberFormat="1" applyFont="1" applyFill="1" applyBorder="1" applyAlignment="1">
      <alignment horizontal="center" vertical="center" wrapText="1"/>
    </xf>
    <xf numFmtId="56" fontId="0" fillId="0" borderId="8" xfId="0" applyNumberFormat="1" applyBorder="1" applyAlignment="1">
      <alignment vertical="center" shrinkToFit="1"/>
    </xf>
    <xf numFmtId="0" fontId="0" fillId="8" borderId="20" xfId="0" applyFill="1" applyBorder="1">
      <alignment vertical="center"/>
    </xf>
    <xf numFmtId="178" fontId="0" fillId="0" borderId="0" xfId="0" applyNumberFormat="1" applyAlignment="1">
      <alignment vertical="center" shrinkToFit="1"/>
    </xf>
    <xf numFmtId="180" fontId="7" fillId="2" borderId="1" xfId="0" applyNumberFormat="1" applyFont="1" applyFill="1" applyBorder="1" applyAlignment="1">
      <alignment horizontal="center" vertical="center" shrinkToFit="1"/>
    </xf>
    <xf numFmtId="182" fontId="0" fillId="0" borderId="12" xfId="0" applyNumberFormat="1" applyBorder="1">
      <alignment vertical="center"/>
    </xf>
    <xf numFmtId="182" fontId="0" fillId="0" borderId="8" xfId="0" applyNumberFormat="1" applyBorder="1">
      <alignment vertical="center"/>
    </xf>
    <xf numFmtId="182" fontId="0" fillId="0" borderId="0" xfId="0" applyNumberFormat="1">
      <alignment vertical="center"/>
    </xf>
    <xf numFmtId="178" fontId="0" fillId="7" borderId="8" xfId="0" applyNumberFormat="1" applyFill="1" applyBorder="1" applyAlignment="1">
      <alignment vertical="center" shrinkToFit="1"/>
    </xf>
    <xf numFmtId="178" fontId="0" fillId="14" borderId="25" xfId="0" applyNumberFormat="1" applyFill="1" applyBorder="1" applyAlignment="1">
      <alignment vertical="center" shrinkToFit="1"/>
    </xf>
    <xf numFmtId="176" fontId="0" fillId="0" borderId="8" xfId="0" applyNumberFormat="1" applyBorder="1" applyAlignment="1">
      <alignment vertical="center" shrinkToFit="1"/>
    </xf>
    <xf numFmtId="176" fontId="0" fillId="4" borderId="8" xfId="0" applyNumberFormat="1" applyFill="1" applyBorder="1" applyAlignment="1">
      <alignment vertical="center" shrinkToFit="1"/>
    </xf>
    <xf numFmtId="181" fontId="0" fillId="14" borderId="25" xfId="0" applyNumberFormat="1" applyFill="1" applyBorder="1" applyAlignment="1">
      <alignment vertical="center" shrinkToFit="1"/>
    </xf>
    <xf numFmtId="181" fontId="0" fillId="0" borderId="12" xfId="0" applyNumberFormat="1" applyBorder="1" applyAlignment="1">
      <alignment vertical="center" shrinkToFit="1"/>
    </xf>
    <xf numFmtId="181" fontId="0" fillId="0" borderId="8" xfId="0" applyNumberFormat="1" applyBorder="1" applyAlignment="1">
      <alignment vertical="center" shrinkToFit="1"/>
    </xf>
    <xf numFmtId="181" fontId="0" fillId="14" borderId="8" xfId="0" applyNumberFormat="1" applyFill="1" applyBorder="1" applyAlignment="1">
      <alignment vertical="center" shrinkToFit="1"/>
    </xf>
    <xf numFmtId="181" fontId="0" fillId="3" borderId="8" xfId="0" applyNumberFormat="1" applyFill="1" applyBorder="1" applyAlignment="1">
      <alignment vertical="center" shrinkToFit="1"/>
    </xf>
    <xf numFmtId="181" fontId="0" fillId="4" borderId="8" xfId="0" applyNumberFormat="1" applyFill="1" applyBorder="1" applyAlignment="1">
      <alignment vertical="center" shrinkToFit="1"/>
    </xf>
    <xf numFmtId="181" fontId="0" fillId="7" borderId="8" xfId="0" applyNumberFormat="1" applyFill="1" applyBorder="1" applyAlignment="1">
      <alignment vertical="center" shrinkToFit="1"/>
    </xf>
    <xf numFmtId="0" fontId="0" fillId="11" borderId="8" xfId="0" applyFill="1" applyBorder="1">
      <alignment vertical="center"/>
    </xf>
    <xf numFmtId="181" fontId="0" fillId="0" borderId="17" xfId="0" applyNumberFormat="1" applyBorder="1" applyAlignment="1">
      <alignment vertical="center" shrinkToFit="1"/>
    </xf>
    <xf numFmtId="180" fontId="7" fillId="17" borderId="1" xfId="0" applyNumberFormat="1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center" vertical="center" wrapText="1"/>
    </xf>
    <xf numFmtId="180" fontId="7" fillId="17" borderId="3" xfId="0" applyNumberFormat="1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vertical="center" shrinkToFit="1"/>
    </xf>
    <xf numFmtId="0" fontId="2" fillId="3" borderId="8" xfId="0" applyFont="1" applyFill="1" applyBorder="1" applyAlignment="1">
      <alignment vertical="center" shrinkToFit="1"/>
    </xf>
    <xf numFmtId="180" fontId="2" fillId="17" borderId="28" xfId="0" applyNumberFormat="1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shrinkToFit="1"/>
    </xf>
    <xf numFmtId="182" fontId="0" fillId="7" borderId="20" xfId="0" applyNumberFormat="1" applyFill="1" applyBorder="1">
      <alignment vertical="center"/>
    </xf>
    <xf numFmtId="176" fontId="0" fillId="7" borderId="20" xfId="0" applyNumberFormat="1" applyFill="1" applyBorder="1" applyAlignment="1">
      <alignment vertical="center" shrinkToFit="1"/>
    </xf>
    <xf numFmtId="179" fontId="0" fillId="3" borderId="8" xfId="0" applyNumberFormat="1" applyFill="1" applyBorder="1" applyAlignment="1">
      <alignment vertical="center" shrinkToFit="1"/>
    </xf>
    <xf numFmtId="0" fontId="0" fillId="0" borderId="0" xfId="0" applyAlignment="1">
      <alignment vertical="center" wrapText="1" shrinkToFit="1"/>
    </xf>
    <xf numFmtId="0" fontId="2" fillId="3" borderId="1" xfId="0" applyFont="1" applyFill="1" applyBorder="1" applyAlignment="1">
      <alignment vertical="center" wrapText="1"/>
    </xf>
    <xf numFmtId="181" fontId="2" fillId="0" borderId="0" xfId="0" applyNumberFormat="1" applyFont="1">
      <alignment vertical="center"/>
    </xf>
    <xf numFmtId="181" fontId="0" fillId="4" borderId="20" xfId="0" applyNumberFormat="1" applyFill="1" applyBorder="1" applyAlignment="1">
      <alignment vertical="center" shrinkToFit="1"/>
    </xf>
    <xf numFmtId="178" fontId="0" fillId="4" borderId="20" xfId="0" applyNumberFormat="1" applyFill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180" fontId="2" fillId="2" borderId="3" xfId="0" applyNumberFormat="1" applyFont="1" applyFill="1" applyBorder="1" applyAlignment="1">
      <alignment horizontal="center" vertical="center" shrinkToFit="1"/>
    </xf>
    <xf numFmtId="180" fontId="7" fillId="9" borderId="1" xfId="0" applyNumberFormat="1" applyFont="1" applyFill="1" applyBorder="1" applyAlignment="1">
      <alignment horizontal="center" vertical="center" shrinkToFit="1"/>
    </xf>
    <xf numFmtId="180" fontId="8" fillId="15" borderId="1" xfId="0" applyNumberFormat="1" applyFont="1" applyFill="1" applyBorder="1" applyAlignment="1">
      <alignment horizontal="center" vertical="center" shrinkToFit="1"/>
    </xf>
    <xf numFmtId="180" fontId="7" fillId="3" borderId="1" xfId="0" applyNumberFormat="1" applyFont="1" applyFill="1" applyBorder="1" applyAlignment="1">
      <alignment horizontal="center" vertical="center" shrinkToFit="1"/>
    </xf>
    <xf numFmtId="177" fontId="0" fillId="19" borderId="8" xfId="0" applyNumberFormat="1" applyFill="1" applyBorder="1">
      <alignment vertical="center"/>
    </xf>
    <xf numFmtId="9" fontId="0" fillId="19" borderId="8" xfId="0" applyNumberFormat="1" applyFill="1" applyBorder="1">
      <alignment vertical="center"/>
    </xf>
    <xf numFmtId="180" fontId="8" fillId="18" borderId="1" xfId="0" applyNumberFormat="1" applyFont="1" applyFill="1" applyBorder="1" applyAlignment="1">
      <alignment horizontal="center" vertical="center" wrapText="1"/>
    </xf>
    <xf numFmtId="182" fontId="0" fillId="7" borderId="11" xfId="0" applyNumberFormat="1" applyFill="1" applyBorder="1">
      <alignment vertical="center"/>
    </xf>
    <xf numFmtId="0" fontId="0" fillId="7" borderId="11" xfId="0" applyFill="1" applyBorder="1">
      <alignment vertical="center"/>
    </xf>
    <xf numFmtId="176" fontId="0" fillId="7" borderId="11" xfId="0" applyNumberFormat="1" applyFill="1" applyBorder="1" applyAlignment="1">
      <alignment vertical="center" shrinkToFit="1"/>
    </xf>
    <xf numFmtId="178" fontId="0" fillId="7" borderId="11" xfId="0" applyNumberFormat="1" applyFill="1" applyBorder="1" applyAlignment="1">
      <alignment vertical="center" shrinkToFit="1"/>
    </xf>
    <xf numFmtId="182" fontId="0" fillId="0" borderId="29" xfId="0" applyNumberFormat="1" applyBorder="1">
      <alignment vertical="center"/>
    </xf>
    <xf numFmtId="0" fontId="0" fillId="0" borderId="30" xfId="0" applyBorder="1">
      <alignment vertical="center"/>
    </xf>
    <xf numFmtId="176" fontId="0" fillId="0" borderId="30" xfId="0" applyNumberFormat="1" applyBorder="1">
      <alignment vertical="center"/>
    </xf>
    <xf numFmtId="0" fontId="0" fillId="0" borderId="30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182" fontId="0" fillId="0" borderId="32" xfId="0" applyNumberFormat="1" applyBorder="1">
      <alignment vertical="center"/>
    </xf>
    <xf numFmtId="0" fontId="0" fillId="0" borderId="33" xfId="0" applyBorder="1" applyAlignment="1">
      <alignment vertical="center" shrinkToFit="1"/>
    </xf>
    <xf numFmtId="182" fontId="0" fillId="0" borderId="34" xfId="0" applyNumberFormat="1" applyBorder="1">
      <alignment vertical="center"/>
    </xf>
    <xf numFmtId="0" fontId="0" fillId="0" borderId="35" xfId="0" applyBorder="1">
      <alignment vertical="center"/>
    </xf>
    <xf numFmtId="176" fontId="0" fillId="0" borderId="36" xfId="0" applyNumberFormat="1" applyBorder="1">
      <alignment vertical="center"/>
    </xf>
    <xf numFmtId="0" fontId="0" fillId="0" borderId="36" xfId="0" applyBorder="1">
      <alignment vertical="center"/>
    </xf>
    <xf numFmtId="0" fontId="0" fillId="0" borderId="3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180" fontId="2" fillId="0" borderId="3" xfId="0" applyNumberFormat="1" applyFont="1" applyBorder="1" applyAlignment="1">
      <alignment horizontal="center" vertical="center" wrapText="1"/>
    </xf>
    <xf numFmtId="177" fontId="6" fillId="13" borderId="8" xfId="0" applyNumberFormat="1" applyFont="1" applyFill="1" applyBorder="1">
      <alignment vertical="center"/>
    </xf>
    <xf numFmtId="3" fontId="0" fillId="0" borderId="8" xfId="0" applyNumberFormat="1" applyBorder="1">
      <alignment vertical="center"/>
    </xf>
    <xf numFmtId="182" fontId="0" fillId="0" borderId="38" xfId="0" applyNumberFormat="1" applyBorder="1">
      <alignment vertical="center"/>
    </xf>
    <xf numFmtId="56" fontId="0" fillId="0" borderId="38" xfId="0" applyNumberFormat="1" applyBorder="1">
      <alignment vertical="center"/>
    </xf>
    <xf numFmtId="56" fontId="0" fillId="0" borderId="39" xfId="0" applyNumberFormat="1" applyBorder="1">
      <alignment vertical="center"/>
    </xf>
    <xf numFmtId="3" fontId="0" fillId="0" borderId="36" xfId="0" applyNumberFormat="1" applyBorder="1">
      <alignment vertical="center"/>
    </xf>
    <xf numFmtId="182" fontId="0" fillId="0" borderId="39" xfId="0" applyNumberFormat="1" applyBorder="1">
      <alignment vertical="center"/>
    </xf>
    <xf numFmtId="0" fontId="3" fillId="20" borderId="1" xfId="0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 wrapText="1"/>
    </xf>
    <xf numFmtId="0" fontId="3" fillId="22" borderId="1" xfId="0" applyFont="1" applyFill="1" applyBorder="1" applyAlignment="1">
      <alignment horizontal="center" vertical="center" wrapText="1"/>
    </xf>
    <xf numFmtId="0" fontId="3" fillId="23" borderId="1" xfId="0" applyFont="1" applyFill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 wrapText="1"/>
    </xf>
    <xf numFmtId="0" fontId="0" fillId="14" borderId="8" xfId="0" applyFill="1" applyBorder="1" applyAlignment="1">
      <alignment horizontal="center" vertical="center"/>
    </xf>
    <xf numFmtId="181" fontId="0" fillId="0" borderId="8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center" textRotation="255"/>
    </xf>
    <xf numFmtId="179" fontId="0" fillId="0" borderId="0" xfId="0" applyNumberFormat="1" applyAlignment="1">
      <alignment vertical="center" shrinkToFit="1"/>
    </xf>
    <xf numFmtId="179" fontId="0" fillId="0" borderId="0" xfId="0" applyNumberFormat="1">
      <alignment vertical="center"/>
    </xf>
    <xf numFmtId="181" fontId="0" fillId="0" borderId="0" xfId="0" applyNumberFormat="1">
      <alignment vertical="center"/>
    </xf>
    <xf numFmtId="181" fontId="0" fillId="0" borderId="0" xfId="0" applyNumberFormat="1" applyAlignment="1">
      <alignment vertical="center" shrinkToFit="1"/>
    </xf>
    <xf numFmtId="0" fontId="0" fillId="0" borderId="0" xfId="0" applyAlignment="1">
      <alignment horizontal="left" vertical="center"/>
    </xf>
    <xf numFmtId="18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8" fontId="0" fillId="13" borderId="8" xfId="0" applyNumberFormat="1" applyFill="1" applyBorder="1" applyAlignment="1">
      <alignment vertical="center" shrinkToFi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  <xf numFmtId="178" fontId="0" fillId="10" borderId="9" xfId="0" applyNumberFormat="1" applyFill="1" applyBorder="1" applyAlignment="1">
      <alignment horizontal="left" vertical="center" shrinkToFit="1"/>
    </xf>
    <xf numFmtId="178" fontId="0" fillId="10" borderId="13" xfId="0" applyNumberFormat="1" applyFill="1" applyBorder="1" applyAlignment="1">
      <alignment horizontal="left" vertical="center" shrinkToFit="1"/>
    </xf>
    <xf numFmtId="178" fontId="0" fillId="10" borderId="10" xfId="0" applyNumberFormat="1" applyFill="1" applyBorder="1" applyAlignment="1">
      <alignment horizontal="left" vertical="center" shrinkToFit="1"/>
    </xf>
    <xf numFmtId="0" fontId="0" fillId="8" borderId="11" xfId="0" applyFill="1" applyBorder="1" applyAlignment="1">
      <alignment horizontal="left" vertical="center" wrapText="1"/>
    </xf>
    <xf numFmtId="0" fontId="0" fillId="6" borderId="12" xfId="0" applyFill="1" applyBorder="1" applyAlignment="1">
      <alignment horizontal="center" vertical="center" textRotation="255"/>
    </xf>
    <xf numFmtId="0" fontId="0" fillId="6" borderId="8" xfId="0" applyFill="1" applyBorder="1" applyAlignment="1">
      <alignment horizontal="center" vertical="center" textRotation="255"/>
    </xf>
    <xf numFmtId="0" fontId="0" fillId="11" borderId="15" xfId="0" applyFill="1" applyBorder="1" applyAlignment="1">
      <alignment horizontal="left" vertical="center" wrapText="1"/>
    </xf>
    <xf numFmtId="0" fontId="0" fillId="11" borderId="16" xfId="0" applyFill="1" applyBorder="1" applyAlignment="1">
      <alignment horizontal="left" vertical="center" wrapText="1"/>
    </xf>
    <xf numFmtId="0" fontId="0" fillId="11" borderId="9" xfId="0" applyFill="1" applyBorder="1" applyAlignment="1">
      <alignment horizontal="left" vertical="center" wrapText="1"/>
    </xf>
    <xf numFmtId="0" fontId="0" fillId="11" borderId="10" xfId="0" applyFill="1" applyBorder="1" applyAlignment="1">
      <alignment horizontal="left" vertical="center" wrapText="1"/>
    </xf>
    <xf numFmtId="0" fontId="0" fillId="11" borderId="18" xfId="0" applyFill="1" applyBorder="1" applyAlignment="1">
      <alignment horizontal="left" vertical="center" wrapText="1"/>
    </xf>
    <xf numFmtId="0" fontId="0" fillId="11" borderId="19" xfId="0" applyFill="1" applyBorder="1" applyAlignment="1">
      <alignment horizontal="left" vertical="center" wrapText="1"/>
    </xf>
    <xf numFmtId="0" fontId="0" fillId="25" borderId="9" xfId="0" applyFill="1" applyBorder="1" applyAlignment="1">
      <alignment horizontal="left" vertical="center"/>
    </xf>
    <xf numFmtId="0" fontId="0" fillId="25" borderId="13" xfId="0" applyFill="1" applyBorder="1" applyAlignment="1">
      <alignment horizontal="left" vertical="center"/>
    </xf>
    <xf numFmtId="0" fontId="0" fillId="25" borderId="10" xfId="0" applyFill="1" applyBorder="1" applyAlignment="1">
      <alignment horizontal="left" vertical="center"/>
    </xf>
    <xf numFmtId="0" fontId="2" fillId="10" borderId="8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textRotation="255"/>
    </xf>
    <xf numFmtId="0" fontId="0" fillId="6" borderId="24" xfId="0" applyFill="1" applyBorder="1" applyAlignment="1">
      <alignment horizontal="center" vertical="center" textRotation="255"/>
    </xf>
    <xf numFmtId="0" fontId="0" fillId="6" borderId="14" xfId="0" applyFill="1" applyBorder="1" applyAlignment="1">
      <alignment horizontal="center" vertical="center" textRotation="255"/>
    </xf>
    <xf numFmtId="0" fontId="0" fillId="10" borderId="11" xfId="0" applyFill="1" applyBorder="1" applyAlignment="1">
      <alignment horizontal="center" vertical="center" textRotation="255"/>
    </xf>
    <xf numFmtId="0" fontId="0" fillId="10" borderId="14" xfId="0" applyFill="1" applyBorder="1" applyAlignment="1">
      <alignment horizontal="center" vertical="center" textRotation="255"/>
    </xf>
    <xf numFmtId="0" fontId="0" fillId="10" borderId="12" xfId="0" applyFill="1" applyBorder="1" applyAlignment="1">
      <alignment horizontal="center" vertical="center" textRotation="255"/>
    </xf>
    <xf numFmtId="178" fontId="0" fillId="11" borderId="24" xfId="0" applyNumberFormat="1" applyFill="1" applyBorder="1" applyAlignment="1">
      <alignment horizontal="center" vertical="center" textRotation="255" shrinkToFit="1"/>
    </xf>
    <xf numFmtId="178" fontId="0" fillId="11" borderId="14" xfId="0" applyNumberFormat="1" applyFill="1" applyBorder="1" applyAlignment="1">
      <alignment horizontal="center" vertical="center" textRotation="255" shrinkToFit="1"/>
    </xf>
    <xf numFmtId="0" fontId="0" fillId="0" borderId="25" xfId="0" applyBorder="1" applyAlignment="1">
      <alignment vertical="center" shrinkToFit="1"/>
    </xf>
    <xf numFmtId="178" fontId="0" fillId="8" borderId="18" xfId="0" applyNumberFormat="1" applyFill="1" applyBorder="1" applyAlignment="1">
      <alignment horizontal="left" vertical="center" shrinkToFit="1"/>
    </xf>
    <xf numFmtId="178" fontId="0" fillId="8" borderId="19" xfId="0" applyNumberFormat="1" applyFill="1" applyBorder="1" applyAlignment="1">
      <alignment horizontal="left" vertical="center" shrinkToFit="1"/>
    </xf>
    <xf numFmtId="178" fontId="0" fillId="5" borderId="14" xfId="0" applyNumberFormat="1" applyFill="1" applyBorder="1" applyAlignment="1">
      <alignment horizontal="center" vertical="center" textRotation="255" shrinkToFit="1"/>
    </xf>
    <xf numFmtId="0" fontId="6" fillId="8" borderId="8" xfId="0" applyFont="1" applyFill="1" applyBorder="1" applyAlignment="1">
      <alignment horizontal="center" vertical="center" textRotation="255"/>
    </xf>
    <xf numFmtId="0" fontId="6" fillId="5" borderId="8" xfId="0" applyFont="1" applyFill="1" applyBorder="1" applyAlignment="1">
      <alignment horizontal="center" vertical="center" textRotation="255"/>
    </xf>
    <xf numFmtId="0" fontId="2" fillId="6" borderId="8" xfId="0" applyFont="1" applyFill="1" applyBorder="1" applyAlignment="1">
      <alignment horizontal="center" vertical="center" wrapText="1"/>
    </xf>
    <xf numFmtId="178" fontId="0" fillId="11" borderId="15" xfId="0" applyNumberFormat="1" applyFill="1" applyBorder="1" applyAlignment="1">
      <alignment horizontal="left" vertical="center" shrinkToFit="1"/>
    </xf>
    <xf numFmtId="178" fontId="0" fillId="11" borderId="27" xfId="0" applyNumberFormat="1" applyFill="1" applyBorder="1" applyAlignment="1">
      <alignment horizontal="left" vertical="center" shrinkToFit="1"/>
    </xf>
    <xf numFmtId="178" fontId="0" fillId="11" borderId="16" xfId="0" applyNumberFormat="1" applyFill="1" applyBorder="1" applyAlignment="1">
      <alignment horizontal="left" vertical="center" shrinkToFit="1"/>
    </xf>
    <xf numFmtId="0" fontId="0" fillId="6" borderId="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10" xfId="0" applyFill="1" applyBorder="1" applyAlignment="1">
      <alignment horizontal="left" vertical="center"/>
    </xf>
    <xf numFmtId="0" fontId="0" fillId="8" borderId="9" xfId="0" applyFill="1" applyBorder="1" applyAlignment="1">
      <alignment horizontal="left" vertical="center"/>
    </xf>
    <xf numFmtId="0" fontId="0" fillId="8" borderId="13" xfId="0" applyFill="1" applyBorder="1" applyAlignment="1">
      <alignment horizontal="left" vertical="center"/>
    </xf>
    <xf numFmtId="0" fontId="0" fillId="8" borderId="10" xfId="0" applyFill="1" applyBorder="1" applyAlignment="1">
      <alignment horizontal="left" vertical="center"/>
    </xf>
    <xf numFmtId="178" fontId="0" fillId="5" borderId="9" xfId="0" applyNumberFormat="1" applyFill="1" applyBorder="1" applyAlignment="1">
      <alignment horizontal="left" vertical="center" shrinkToFit="1"/>
    </xf>
    <xf numFmtId="178" fontId="0" fillId="5" borderId="13" xfId="0" applyNumberFormat="1" applyFill="1" applyBorder="1" applyAlignment="1">
      <alignment horizontal="left" vertical="center" shrinkToFit="1"/>
    </xf>
    <xf numFmtId="178" fontId="0" fillId="5" borderId="10" xfId="0" applyNumberFormat="1" applyFill="1" applyBorder="1" applyAlignment="1">
      <alignment horizontal="left" vertical="center" shrinkToFit="1"/>
    </xf>
    <xf numFmtId="177" fontId="0" fillId="6" borderId="9" xfId="0" applyNumberFormat="1" applyFill="1" applyBorder="1" applyAlignment="1">
      <alignment horizontal="center" vertical="center"/>
    </xf>
    <xf numFmtId="177" fontId="0" fillId="6" borderId="13" xfId="0" applyNumberFormat="1" applyFill="1" applyBorder="1" applyAlignment="1">
      <alignment horizontal="center" vertical="center"/>
    </xf>
    <xf numFmtId="177" fontId="0" fillId="6" borderId="10" xfId="0" applyNumberFormat="1" applyFill="1" applyBorder="1" applyAlignment="1">
      <alignment horizontal="center" vertical="center"/>
    </xf>
    <xf numFmtId="0" fontId="0" fillId="11" borderId="8" xfId="0" applyFill="1" applyBorder="1" applyAlignment="1">
      <alignment horizontal="left" vertical="center"/>
    </xf>
    <xf numFmtId="0" fontId="6" fillId="10" borderId="8" xfId="0" applyFont="1" applyFill="1" applyBorder="1" applyAlignment="1">
      <alignment horizontal="center" vertical="center" textRotation="255"/>
    </xf>
    <xf numFmtId="0" fontId="6" fillId="8" borderId="11" xfId="0" applyFont="1" applyFill="1" applyBorder="1" applyAlignment="1">
      <alignment horizontal="center" vertical="center" textRotation="255"/>
    </xf>
    <xf numFmtId="0" fontId="6" fillId="8" borderId="14" xfId="0" applyFont="1" applyFill="1" applyBorder="1" applyAlignment="1">
      <alignment horizontal="center" vertical="center" textRotation="255"/>
    </xf>
    <xf numFmtId="0" fontId="6" fillId="8" borderId="12" xfId="0" applyFont="1" applyFill="1" applyBorder="1" applyAlignment="1">
      <alignment horizontal="center" vertical="center" textRotation="255"/>
    </xf>
    <xf numFmtId="0" fontId="6" fillId="6" borderId="8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55" fontId="6" fillId="6" borderId="8" xfId="0" applyNumberFormat="1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0" fillId="8" borderId="8" xfId="0" applyFill="1" applyBorder="1" applyAlignment="1">
      <alignment horizontal="center" vertical="center" textRotation="255"/>
    </xf>
    <xf numFmtId="0" fontId="0" fillId="5" borderId="8" xfId="0" applyFill="1" applyBorder="1" applyAlignment="1">
      <alignment horizontal="center" vertical="center" textRotation="255"/>
    </xf>
    <xf numFmtId="0" fontId="0" fillId="6" borderId="8" xfId="0" applyFill="1" applyBorder="1" applyAlignment="1">
      <alignment horizontal="left" vertical="center" wrapText="1"/>
    </xf>
  </cellXfs>
  <cellStyles count="1">
    <cellStyle name="標準" xfId="0" builtinId="0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C99FF"/>
      <color rgb="FFFFF8E5"/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収入・支出と生涯資産の推移（予定）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v>資産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生涯計画!$C$27:$AA$27</c:f>
              <c:numCache>
                <c:formatCode>0_ ;[Red]\-0\ </c:formatCode>
                <c:ptCount val="25"/>
                <c:pt idx="0">
                  <c:v>2586.866</c:v>
                </c:pt>
                <c:pt idx="1">
                  <c:v>3068.4226200000003</c:v>
                </c:pt>
                <c:pt idx="2">
                  <c:v>3577.6752034000001</c:v>
                </c:pt>
                <c:pt idx="3">
                  <c:v>4107.6346276380009</c:v>
                </c:pt>
                <c:pt idx="4">
                  <c:v>4439.2096547726615</c:v>
                </c:pt>
                <c:pt idx="5">
                  <c:v>4921.7157458707479</c:v>
                </c:pt>
                <c:pt idx="6">
                  <c:v>5351.6191916509797</c:v>
                </c:pt>
                <c:pt idx="7">
                  <c:v>5837.1369322072142</c:v>
                </c:pt>
                <c:pt idx="8">
                  <c:v>6342.0590626318981</c:v>
                </c:pt>
                <c:pt idx="9">
                  <c:v>6865.6389132365002</c:v>
                </c:pt>
                <c:pt idx="10">
                  <c:v>8080.8649205642614</c:v>
                </c:pt>
                <c:pt idx="11">
                  <c:v>7913.6293740729907</c:v>
                </c:pt>
                <c:pt idx="12">
                  <c:v>7672.1246175087153</c:v>
                </c:pt>
                <c:pt idx="13">
                  <c:v>7420.1111437299523</c:v>
                </c:pt>
                <c:pt idx="14">
                  <c:v>7142.8074431665882</c:v>
                </c:pt>
                <c:pt idx="15">
                  <c:v>6851.3921358584994</c:v>
                </c:pt>
                <c:pt idx="16">
                  <c:v>6547.821247103162</c:v>
                </c:pt>
                <c:pt idx="17">
                  <c:v>6215.1826869353181</c:v>
                </c:pt>
                <c:pt idx="18">
                  <c:v>5760.5755378694721</c:v>
                </c:pt>
                <c:pt idx="19">
                  <c:v>5291.3908876385167</c:v>
                </c:pt>
                <c:pt idx="20">
                  <c:v>4811.3323152257835</c:v>
                </c:pt>
                <c:pt idx="21">
                  <c:v>4289.5578060615544</c:v>
                </c:pt>
                <c:pt idx="22">
                  <c:v>4008.6615965592391</c:v>
                </c:pt>
                <c:pt idx="23">
                  <c:v>3699.8147431721209</c:v>
                </c:pt>
                <c:pt idx="24">
                  <c:v>3550.9655268079127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D7E-47E2-BBAE-33CCBC135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369120"/>
        <c:axId val="477361920"/>
      </c:barChart>
      <c:lineChart>
        <c:grouping val="standard"/>
        <c:varyColors val="0"/>
        <c:ser>
          <c:idx val="0"/>
          <c:order val="0"/>
          <c:tx>
            <c:v>収入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生涯計画!$C$2:$AA$2</c:f>
              <c:numCache>
                <c:formatCode>General</c:formatCode>
                <c:ptCount val="2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</c:numCache>
            </c:numRef>
          </c:cat>
          <c:val>
            <c:numRef>
              <c:f>生涯計画!$C$15:$AA$15</c:f>
              <c:numCache>
                <c:formatCode>0_ ;[Red]\-0\ </c:formatCode>
                <c:ptCount val="25"/>
                <c:pt idx="0">
                  <c:v>768</c:v>
                </c:pt>
                <c:pt idx="1">
                  <c:v>837</c:v>
                </c:pt>
                <c:pt idx="2">
                  <c:v>835.75499999999988</c:v>
                </c:pt>
                <c:pt idx="3">
                  <c:v>890</c:v>
                </c:pt>
                <c:pt idx="4">
                  <c:v>756</c:v>
                </c:pt>
                <c:pt idx="5">
                  <c:v>752.69999999999993</c:v>
                </c:pt>
                <c:pt idx="6">
                  <c:v>753.4006999999998</c:v>
                </c:pt>
                <c:pt idx="7">
                  <c:v>754.10210069999971</c:v>
                </c:pt>
                <c:pt idx="8">
                  <c:v>754.80420280069961</c:v>
                </c:pt>
                <c:pt idx="9">
                  <c:v>755.50700700350023</c:v>
                </c:pt>
                <c:pt idx="10">
                  <c:v>1550</c:v>
                </c:pt>
                <c:pt idx="11">
                  <c:v>48.08</c:v>
                </c:pt>
                <c:pt idx="12">
                  <c:v>46.236799999999995</c:v>
                </c:pt>
                <c:pt idx="13">
                  <c:v>44.467327999999995</c:v>
                </c:pt>
                <c:pt idx="14">
                  <c:v>42.768634879999993</c:v>
                </c:pt>
                <c:pt idx="15">
                  <c:v>41.137889484799992</c:v>
                </c:pt>
                <c:pt idx="16">
                  <c:v>39.572373905407993</c:v>
                </c:pt>
                <c:pt idx="17">
                  <c:v>38.069478949191669</c:v>
                </c:pt>
                <c:pt idx="18">
                  <c:v>36.626699791223999</c:v>
                </c:pt>
                <c:pt idx="19">
                  <c:v>35.241631799575039</c:v>
                </c:pt>
                <c:pt idx="20">
                  <c:v>33.911966527592035</c:v>
                </c:pt>
                <c:pt idx="21">
                  <c:v>32.635487866488354</c:v>
                </c:pt>
                <c:pt idx="22">
                  <c:v>31.410068351828819</c:v>
                </c:pt>
                <c:pt idx="23">
                  <c:v>30.233665617755666</c:v>
                </c:pt>
                <c:pt idx="24">
                  <c:v>159.10431899304544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E-47E2-BBAE-33CCBC135038}"/>
            </c:ext>
          </c:extLst>
        </c:ser>
        <c:ser>
          <c:idx val="1"/>
          <c:order val="1"/>
          <c:tx>
            <c:v>支出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生涯計画!$C$2:$AA$2</c:f>
              <c:numCache>
                <c:formatCode>General</c:formatCode>
                <c:ptCount val="2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</c:numCache>
            </c:numRef>
          </c:cat>
          <c:val>
            <c:numRef>
              <c:f>生涯計画!$C$25:$AA$25</c:f>
              <c:numCache>
                <c:formatCode>0_ ;[Red]\-0\ </c:formatCode>
                <c:ptCount val="25"/>
                <c:pt idx="0">
                  <c:v>461.92399999999998</c:v>
                </c:pt>
                <c:pt idx="1">
                  <c:v>466.524</c:v>
                </c:pt>
                <c:pt idx="2">
                  <c:v>471.29200000000003</c:v>
                </c:pt>
                <c:pt idx="3">
                  <c:v>540.47784000000001</c:v>
                </c:pt>
                <c:pt idx="4">
                  <c:v>641.95939680000004</c:v>
                </c:pt>
                <c:pt idx="5">
                  <c:v>510.93858473600005</c:v>
                </c:pt>
                <c:pt idx="6">
                  <c:v>598.01735643072004</c:v>
                </c:pt>
                <c:pt idx="7">
                  <c:v>573.19770355933451</c:v>
                </c:pt>
                <c:pt idx="8">
                  <c:v>588.48165763052111</c:v>
                </c:pt>
                <c:pt idx="9">
                  <c:v>605.8712907831316</c:v>
                </c:pt>
                <c:pt idx="10">
                  <c:v>745.36871659879421</c:v>
                </c:pt>
                <c:pt idx="11">
                  <c:v>710.97609093077017</c:v>
                </c:pt>
                <c:pt idx="12">
                  <c:v>771.69561274938553</c:v>
                </c:pt>
                <c:pt idx="13">
                  <c:v>763.52952500437323</c:v>
                </c:pt>
                <c:pt idx="14">
                  <c:v>769.48011550446063</c:v>
                </c:pt>
                <c:pt idx="15">
                  <c:v>762.54971781454992</c:v>
                </c:pt>
                <c:pt idx="16">
                  <c:v>752.74071217084088</c:v>
                </c:pt>
                <c:pt idx="17">
                  <c:v>759.05552641425777</c:v>
                </c:pt>
                <c:pt idx="18">
                  <c:v>856.29663694254293</c:v>
                </c:pt>
                <c:pt idx="19">
                  <c:v>837.66656968139387</c:v>
                </c:pt>
                <c:pt idx="20">
                  <c:v>814.36790107502168</c:v>
                </c:pt>
                <c:pt idx="21">
                  <c:v>821.20325909652206</c:v>
                </c:pt>
                <c:pt idx="22">
                  <c:v>542.57532427845263</c:v>
                </c:pt>
                <c:pt idx="23">
                  <c:v>549.68683076402158</c:v>
                </c:pt>
                <c:pt idx="24">
                  <c:v>496.94056737930208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D7E-47E2-BBAE-33CCBC135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774296"/>
        <c:axId val="687774656"/>
      </c:lineChart>
      <c:catAx>
        <c:axId val="687774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7774656"/>
        <c:crosses val="autoZero"/>
        <c:auto val="1"/>
        <c:lblAlgn val="ctr"/>
        <c:lblOffset val="100"/>
        <c:noMultiLvlLbl val="0"/>
      </c:catAx>
      <c:valAx>
        <c:axId val="68777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;[Red]\-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7774296"/>
        <c:crosses val="autoZero"/>
        <c:crossBetween val="between"/>
      </c:valAx>
      <c:valAx>
        <c:axId val="477361920"/>
        <c:scaling>
          <c:orientation val="minMax"/>
        </c:scaling>
        <c:delete val="0"/>
        <c:axPos val="r"/>
        <c:numFmt formatCode="0_ ;[Red]\-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7369120"/>
        <c:crosses val="max"/>
        <c:crossBetween val="between"/>
      </c:valAx>
      <c:catAx>
        <c:axId val="477369120"/>
        <c:scaling>
          <c:orientation val="minMax"/>
        </c:scaling>
        <c:delete val="1"/>
        <c:axPos val="b"/>
        <c:majorTickMark val="out"/>
        <c:minorTickMark val="none"/>
        <c:tickLblPos val="nextTo"/>
        <c:crossAx val="477361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収入・支出と生涯資産の推移（実績）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v>資産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生涯計画!$C$54:$AA$54</c:f>
              <c:numCache>
                <c:formatCode>0_ ;[Red]\-0\ </c:formatCode>
                <c:ptCount val="25"/>
                <c:pt idx="0">
                  <c:v>2467</c:v>
                </c:pt>
                <c:pt idx="1">
                  <c:v>2894</c:v>
                </c:pt>
                <c:pt idx="2">
                  <c:v>3884</c:v>
                </c:pt>
                <c:pt idx="3">
                  <c:v>5270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F-4341-BE0F-4FF75660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369120"/>
        <c:axId val="477361920"/>
      </c:barChart>
      <c:lineChart>
        <c:grouping val="standard"/>
        <c:varyColors val="0"/>
        <c:ser>
          <c:idx val="0"/>
          <c:order val="0"/>
          <c:tx>
            <c:v>収入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生涯計画!$C$2:$AA$2</c:f>
              <c:numCache>
                <c:formatCode>General</c:formatCode>
                <c:ptCount val="2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</c:numCache>
            </c:numRef>
          </c:cat>
          <c:val>
            <c:numRef>
              <c:f>生涯計画!$C$43:$AA$43</c:f>
              <c:numCache>
                <c:formatCode>0_ ;[Red]\-0\ </c:formatCode>
                <c:ptCount val="25"/>
                <c:pt idx="0">
                  <c:v>775.05930000000001</c:v>
                </c:pt>
                <c:pt idx="1">
                  <c:v>866.95249999999999</c:v>
                </c:pt>
                <c:pt idx="2">
                  <c:v>953.07920000000001</c:v>
                </c:pt>
                <c:pt idx="3">
                  <c:v>1014.9058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F-4341-BE0F-4FF7566026AD}"/>
            </c:ext>
          </c:extLst>
        </c:ser>
        <c:ser>
          <c:idx val="1"/>
          <c:order val="1"/>
          <c:tx>
            <c:v>支出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生涯計画!$C$2:$AA$2</c:f>
              <c:numCache>
                <c:formatCode>General</c:formatCode>
                <c:ptCount val="2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</c:numCache>
            </c:numRef>
          </c:cat>
          <c:val>
            <c:numRef>
              <c:f>生涯計画!$C$52:$AA$52</c:f>
              <c:numCache>
                <c:formatCode>0_ ;[Red]\-0\ </c:formatCode>
                <c:ptCount val="25"/>
                <c:pt idx="0">
                  <c:v>407.51525454545452</c:v>
                </c:pt>
                <c:pt idx="1">
                  <c:v>442</c:v>
                </c:pt>
                <c:pt idx="2">
                  <c:v>465.92854500000004</c:v>
                </c:pt>
                <c:pt idx="3">
                  <c:v>488.7217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6F-4341-BE0F-4FF75660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774296"/>
        <c:axId val="687774656"/>
      </c:lineChart>
      <c:catAx>
        <c:axId val="687774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7774656"/>
        <c:crosses val="autoZero"/>
        <c:auto val="1"/>
        <c:lblAlgn val="ctr"/>
        <c:lblOffset val="100"/>
        <c:noMultiLvlLbl val="0"/>
      </c:catAx>
      <c:valAx>
        <c:axId val="687774656"/>
        <c:scaling>
          <c:orientation val="minMax"/>
          <c:max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;[Red]\-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7774296"/>
        <c:crosses val="autoZero"/>
        <c:crossBetween val="between"/>
      </c:valAx>
      <c:valAx>
        <c:axId val="477361920"/>
        <c:scaling>
          <c:orientation val="minMax"/>
          <c:max val="9000"/>
        </c:scaling>
        <c:delete val="0"/>
        <c:axPos val="r"/>
        <c:numFmt formatCode="0_ ;[Red]\-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7369120"/>
        <c:crosses val="max"/>
        <c:crossBetween val="between"/>
      </c:valAx>
      <c:catAx>
        <c:axId val="477369120"/>
        <c:scaling>
          <c:orientation val="minMax"/>
        </c:scaling>
        <c:delete val="1"/>
        <c:axPos val="b"/>
        <c:majorTickMark val="out"/>
        <c:minorTickMark val="none"/>
        <c:tickLblPos val="nextTo"/>
        <c:crossAx val="477361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収入と支出の推移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2"/>
          <c:tx>
            <c:strRef>
              <c:f>年間予定!$A$75</c:f>
              <c:strCache>
                <c:ptCount val="1"/>
                <c:pt idx="0">
                  <c:v>収支合計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年間予定!$D$69:$O$69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年間予定!$D$75:$O$75</c:f>
              <c:numCache>
                <c:formatCode>#,##0_);[Red]\(#,##0\)</c:formatCode>
                <c:ptCount val="12"/>
                <c:pt idx="0">
                  <c:v>320624</c:v>
                </c:pt>
                <c:pt idx="1">
                  <c:v>412644</c:v>
                </c:pt>
                <c:pt idx="2">
                  <c:v>788635</c:v>
                </c:pt>
                <c:pt idx="3">
                  <c:v>991430</c:v>
                </c:pt>
                <c:pt idx="4">
                  <c:v>1429150</c:v>
                </c:pt>
                <c:pt idx="5">
                  <c:v>2934271</c:v>
                </c:pt>
                <c:pt idx="6">
                  <c:v>3061479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1E-42DE-BFBB-2529395C8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5786728"/>
        <c:axId val="715786008"/>
      </c:barChart>
      <c:lineChart>
        <c:grouping val="standard"/>
        <c:varyColors val="0"/>
        <c:ser>
          <c:idx val="0"/>
          <c:order val="0"/>
          <c:tx>
            <c:strRef>
              <c:f>年間予定!$A$70</c:f>
              <c:strCache>
                <c:ptCount val="1"/>
                <c:pt idx="0">
                  <c:v>収入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年間予定!$D$69:$O$69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年間予定!$D$70:$O$70</c:f>
              <c:numCache>
                <c:formatCode>#,##0_);[Red]\(#,##0\)</c:formatCode>
                <c:ptCount val="12"/>
                <c:pt idx="0">
                  <c:v>921551</c:v>
                </c:pt>
                <c:pt idx="1">
                  <c:v>641646</c:v>
                </c:pt>
                <c:pt idx="2">
                  <c:v>707184</c:v>
                </c:pt>
                <c:pt idx="3">
                  <c:v>677765</c:v>
                </c:pt>
                <c:pt idx="4">
                  <c:v>757701</c:v>
                </c:pt>
                <c:pt idx="5">
                  <c:v>1845018</c:v>
                </c:pt>
                <c:pt idx="6">
                  <c:v>511922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E-42DE-BFBB-2529395C888F}"/>
            </c:ext>
          </c:extLst>
        </c:ser>
        <c:ser>
          <c:idx val="1"/>
          <c:order val="1"/>
          <c:tx>
            <c:strRef>
              <c:f>年間予定!$A$71</c:f>
              <c:strCache>
                <c:ptCount val="1"/>
                <c:pt idx="0">
                  <c:v>支出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年間予定!$D$69:$O$69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年間予定!$D$71:$O$71</c:f>
              <c:numCache>
                <c:formatCode>#,##0_);[Red]\(#,##0\)</c:formatCode>
                <c:ptCount val="12"/>
                <c:pt idx="0">
                  <c:v>600927</c:v>
                </c:pt>
                <c:pt idx="1">
                  <c:v>549626</c:v>
                </c:pt>
                <c:pt idx="2">
                  <c:v>331193</c:v>
                </c:pt>
                <c:pt idx="3">
                  <c:v>474970</c:v>
                </c:pt>
                <c:pt idx="4">
                  <c:v>319981</c:v>
                </c:pt>
                <c:pt idx="5">
                  <c:v>339897</c:v>
                </c:pt>
                <c:pt idx="6">
                  <c:v>384714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E-42DE-BFBB-2529395C888F}"/>
            </c:ext>
          </c:extLst>
        </c:ser>
        <c:ser>
          <c:idx val="4"/>
          <c:order val="3"/>
          <c:tx>
            <c:strRef>
              <c:f>年間予定!$A$74</c:f>
              <c:strCache>
                <c:ptCount val="1"/>
                <c:pt idx="0">
                  <c:v>収支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年間予定!$D$69:$O$69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年間予定!$D$74:$O$74</c:f>
              <c:numCache>
                <c:formatCode>#,##0_);[Red]\(#,##0\)</c:formatCode>
                <c:ptCount val="12"/>
                <c:pt idx="0">
                  <c:v>320624</c:v>
                </c:pt>
                <c:pt idx="1">
                  <c:v>92020</c:v>
                </c:pt>
                <c:pt idx="2">
                  <c:v>375991</c:v>
                </c:pt>
                <c:pt idx="3">
                  <c:v>202795</c:v>
                </c:pt>
                <c:pt idx="4">
                  <c:v>437720</c:v>
                </c:pt>
                <c:pt idx="5">
                  <c:v>1505121</c:v>
                </c:pt>
                <c:pt idx="6">
                  <c:v>127208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1E-42DE-BFBB-2529395C8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252752"/>
        <c:axId val="655250592"/>
      </c:lineChart>
      <c:catAx>
        <c:axId val="65525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5250592"/>
        <c:crosses val="autoZero"/>
        <c:auto val="1"/>
        <c:lblAlgn val="ctr"/>
        <c:lblOffset val="100"/>
        <c:noMultiLvlLbl val="0"/>
      </c:catAx>
      <c:valAx>
        <c:axId val="65525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5252752"/>
        <c:crosses val="autoZero"/>
        <c:crossBetween val="between"/>
      </c:valAx>
      <c:valAx>
        <c:axId val="715786008"/>
        <c:scaling>
          <c:orientation val="minMax"/>
          <c:max val="4000000"/>
        </c:scaling>
        <c:delete val="0"/>
        <c:axPos val="r"/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15786728"/>
        <c:crosses val="max"/>
        <c:crossBetween val="between"/>
        <c:majorUnit val="400000"/>
      </c:valAx>
      <c:catAx>
        <c:axId val="715786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5786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217715</xdr:colOff>
      <xdr:row>56</xdr:row>
      <xdr:rowOff>111578</xdr:rowOff>
    </xdr:from>
    <xdr:to>
      <xdr:col>12</xdr:col>
      <xdr:colOff>463373</xdr:colOff>
      <xdr:row>77</xdr:row>
      <xdr:rowOff>4002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B77C4129-B5BC-9B5B-C935-7E16EE781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54429</xdr:colOff>
      <xdr:row>56</xdr:row>
      <xdr:rowOff>108857</xdr:rowOff>
    </xdr:from>
    <xdr:to>
      <xdr:col>26</xdr:col>
      <xdr:colOff>381000</xdr:colOff>
      <xdr:row>77</xdr:row>
      <xdr:rowOff>10086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81BA80D-4C7E-42E4-BF71-2FB87F6E2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85724</xdr:colOff>
      <xdr:row>77</xdr:row>
      <xdr:rowOff>80962</xdr:rowOff>
    </xdr:from>
    <xdr:to>
      <xdr:col>15</xdr:col>
      <xdr:colOff>400049</xdr:colOff>
      <xdr:row>90</xdr:row>
      <xdr:rowOff>190500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4EEE48F-75E1-CC01-B6B4-4650AF9EA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60"/>
  <sheetViews>
    <sheetView zoomScale="85" zoomScaleNormal="85" workbookViewId="0">
      <selection activeCell="D44" sqref="D44"/>
    </sheetView>
  </sheetViews>
  <sheetFormatPr defaultColWidth="8.625" defaultRowHeight="16.5" x14ac:dyDescent="0.4"/>
  <cols>
    <col min="1" max="1" width="11.625" style="1" customWidth="1"/>
    <col min="2" max="2" width="14.625" style="98" customWidth="1"/>
    <col min="3" max="27" width="8.375" style="1" customWidth="1"/>
    <col min="28" max="16384" width="8.625" style="1"/>
  </cols>
  <sheetData>
    <row r="1" spans="1:27" ht="17.25" thickBot="1" x14ac:dyDescent="0.45">
      <c r="A1" s="1" t="s">
        <v>432</v>
      </c>
    </row>
    <row r="2" spans="1:27" ht="17.25" thickBot="1" x14ac:dyDescent="0.45">
      <c r="A2" s="12" t="s">
        <v>0</v>
      </c>
      <c r="B2" s="90" t="s">
        <v>1</v>
      </c>
      <c r="C2" s="15">
        <v>2021</v>
      </c>
      <c r="D2" s="15">
        <v>2022</v>
      </c>
      <c r="E2" s="15">
        <v>2023</v>
      </c>
      <c r="F2" s="15">
        <v>2024</v>
      </c>
      <c r="G2" s="15">
        <v>2025</v>
      </c>
      <c r="H2" s="15">
        <v>2026</v>
      </c>
      <c r="I2" s="15">
        <v>2027</v>
      </c>
      <c r="J2" s="15">
        <v>2028</v>
      </c>
      <c r="K2" s="15">
        <v>2029</v>
      </c>
      <c r="L2" s="15">
        <v>2030</v>
      </c>
      <c r="M2" s="15">
        <v>2031</v>
      </c>
      <c r="N2" s="15">
        <v>2032</v>
      </c>
      <c r="O2" s="15">
        <v>2033</v>
      </c>
      <c r="P2" s="15">
        <v>2034</v>
      </c>
      <c r="Q2" s="15">
        <v>2035</v>
      </c>
      <c r="R2" s="15">
        <v>2036</v>
      </c>
      <c r="S2" s="15">
        <v>2037</v>
      </c>
      <c r="T2" s="15">
        <v>2038</v>
      </c>
      <c r="U2" s="15">
        <v>2039</v>
      </c>
      <c r="V2" s="15">
        <v>2040</v>
      </c>
      <c r="W2" s="15">
        <v>2041</v>
      </c>
      <c r="X2" s="15">
        <v>2042</v>
      </c>
      <c r="Y2" s="15">
        <v>2043</v>
      </c>
      <c r="Z2" s="15">
        <v>2044</v>
      </c>
      <c r="AA2" s="15">
        <v>2045</v>
      </c>
    </row>
    <row r="3" spans="1:27" ht="17.25" thickBot="1" x14ac:dyDescent="0.45">
      <c r="A3" s="80" t="s">
        <v>2</v>
      </c>
      <c r="B3" s="91" t="s">
        <v>3</v>
      </c>
      <c r="C3" s="114">
        <v>41</v>
      </c>
      <c r="D3" s="114">
        <v>42</v>
      </c>
      <c r="E3" s="114">
        <v>43</v>
      </c>
      <c r="F3" s="114">
        <v>44</v>
      </c>
      <c r="G3" s="81">
        <v>45</v>
      </c>
      <c r="H3" s="81">
        <v>46</v>
      </c>
      <c r="I3" s="81">
        <v>47</v>
      </c>
      <c r="J3" s="81">
        <v>48</v>
      </c>
      <c r="K3" s="81">
        <v>49</v>
      </c>
      <c r="L3" s="81">
        <v>50</v>
      </c>
      <c r="M3" s="81">
        <v>51</v>
      </c>
      <c r="N3" s="81">
        <v>52</v>
      </c>
      <c r="O3" s="81">
        <v>53</v>
      </c>
      <c r="P3" s="81">
        <v>54</v>
      </c>
      <c r="Q3" s="81">
        <v>55</v>
      </c>
      <c r="R3" s="81">
        <v>56</v>
      </c>
      <c r="S3" s="81">
        <v>57</v>
      </c>
      <c r="T3" s="81">
        <v>58</v>
      </c>
      <c r="U3" s="81">
        <v>59</v>
      </c>
      <c r="V3" s="81">
        <v>60</v>
      </c>
      <c r="W3" s="81">
        <v>61</v>
      </c>
      <c r="X3" s="81">
        <v>62</v>
      </c>
      <c r="Y3" s="81">
        <v>63</v>
      </c>
      <c r="Z3" s="81">
        <v>64</v>
      </c>
      <c r="AA3" s="81">
        <v>65</v>
      </c>
    </row>
    <row r="4" spans="1:27" ht="17.25" thickBot="1" x14ac:dyDescent="0.45">
      <c r="A4" s="80" t="s">
        <v>4</v>
      </c>
      <c r="B4" s="91" t="s">
        <v>3</v>
      </c>
      <c r="C4" s="138">
        <v>37</v>
      </c>
      <c r="D4" s="138">
        <v>38</v>
      </c>
      <c r="E4" s="138">
        <v>39</v>
      </c>
      <c r="F4" s="138">
        <v>40</v>
      </c>
      <c r="G4" s="199">
        <v>41</v>
      </c>
      <c r="H4" s="199">
        <v>42</v>
      </c>
      <c r="I4" s="199">
        <v>43</v>
      </c>
      <c r="J4" s="199">
        <v>44</v>
      </c>
      <c r="K4" s="199">
        <v>45</v>
      </c>
      <c r="L4" s="199">
        <v>46</v>
      </c>
      <c r="M4" s="199">
        <v>47</v>
      </c>
      <c r="N4" s="199">
        <v>48</v>
      </c>
      <c r="O4" s="199">
        <v>49</v>
      </c>
      <c r="P4" s="199">
        <v>50</v>
      </c>
      <c r="Q4" s="199">
        <v>51</v>
      </c>
      <c r="R4" s="199">
        <v>52</v>
      </c>
      <c r="S4" s="199">
        <v>53</v>
      </c>
      <c r="T4" s="199">
        <v>54</v>
      </c>
      <c r="U4" s="199">
        <v>55</v>
      </c>
      <c r="V4" s="199">
        <v>56</v>
      </c>
      <c r="W4" s="199">
        <v>57</v>
      </c>
      <c r="X4" s="199">
        <v>58</v>
      </c>
      <c r="Y4" s="199">
        <v>59</v>
      </c>
      <c r="Z4" s="199">
        <v>60</v>
      </c>
      <c r="AA4" s="199">
        <v>61</v>
      </c>
    </row>
    <row r="5" spans="1:27" ht="17.25" thickBot="1" x14ac:dyDescent="0.45">
      <c r="A5" s="80" t="s">
        <v>5</v>
      </c>
      <c r="B5" s="91" t="s">
        <v>3</v>
      </c>
      <c r="C5" s="114">
        <v>1</v>
      </c>
      <c r="D5" s="114">
        <v>2</v>
      </c>
      <c r="E5" s="114">
        <v>3</v>
      </c>
      <c r="F5" s="114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2">
        <v>14</v>
      </c>
      <c r="Q5" s="2">
        <v>15</v>
      </c>
      <c r="R5" s="2">
        <v>16</v>
      </c>
      <c r="S5" s="2">
        <v>17</v>
      </c>
      <c r="T5" s="2">
        <v>18</v>
      </c>
      <c r="U5" s="2">
        <v>19</v>
      </c>
      <c r="V5" s="2">
        <v>20</v>
      </c>
      <c r="W5" s="2">
        <v>21</v>
      </c>
      <c r="X5" s="2">
        <v>22</v>
      </c>
      <c r="Y5" s="2">
        <v>23</v>
      </c>
      <c r="Z5" s="2">
        <v>24</v>
      </c>
      <c r="AA5" s="2">
        <v>25</v>
      </c>
    </row>
    <row r="6" spans="1:27" ht="17.25" thickBot="1" x14ac:dyDescent="0.45">
      <c r="A6" s="82" t="s">
        <v>120</v>
      </c>
      <c r="B6" s="91" t="s">
        <v>3</v>
      </c>
      <c r="C6" s="114">
        <v>71</v>
      </c>
      <c r="D6" s="114">
        <v>72</v>
      </c>
      <c r="E6" s="114">
        <v>73</v>
      </c>
      <c r="F6" s="114">
        <v>74</v>
      </c>
      <c r="G6" s="81">
        <v>75</v>
      </c>
      <c r="H6" s="81">
        <v>76</v>
      </c>
      <c r="I6" s="81">
        <v>77</v>
      </c>
      <c r="J6" s="81">
        <v>78</v>
      </c>
      <c r="K6" s="81">
        <v>79</v>
      </c>
      <c r="L6" s="81">
        <v>80</v>
      </c>
      <c r="M6" s="81">
        <v>81</v>
      </c>
      <c r="N6" s="81">
        <v>82</v>
      </c>
      <c r="O6" s="81">
        <v>83</v>
      </c>
      <c r="P6" s="81">
        <v>84</v>
      </c>
      <c r="Q6" s="81">
        <v>85</v>
      </c>
      <c r="R6" s="81">
        <v>86</v>
      </c>
      <c r="S6" s="81">
        <v>87</v>
      </c>
      <c r="T6" s="81">
        <v>88</v>
      </c>
      <c r="U6" s="81">
        <v>89</v>
      </c>
      <c r="V6" s="81">
        <v>90</v>
      </c>
      <c r="W6" s="81">
        <v>91</v>
      </c>
      <c r="X6" s="81">
        <v>92</v>
      </c>
      <c r="Y6" s="81">
        <v>93</v>
      </c>
      <c r="Z6" s="81">
        <v>94</v>
      </c>
      <c r="AA6" s="81">
        <v>95</v>
      </c>
    </row>
    <row r="7" spans="1:27" ht="17.25" thickBot="1" x14ac:dyDescent="0.45">
      <c r="A7" s="82" t="s">
        <v>121</v>
      </c>
      <c r="B7" s="91" t="s">
        <v>3</v>
      </c>
      <c r="C7" s="114">
        <v>68</v>
      </c>
      <c r="D7" s="114">
        <v>69</v>
      </c>
      <c r="E7" s="114">
        <v>70</v>
      </c>
      <c r="F7" s="114">
        <v>71</v>
      </c>
      <c r="G7" s="81">
        <v>72</v>
      </c>
      <c r="H7" s="81">
        <v>73</v>
      </c>
      <c r="I7" s="81">
        <v>74</v>
      </c>
      <c r="J7" s="81">
        <v>75</v>
      </c>
      <c r="K7" s="81">
        <v>76</v>
      </c>
      <c r="L7" s="81">
        <v>77</v>
      </c>
      <c r="M7" s="81">
        <v>78</v>
      </c>
      <c r="N7" s="81">
        <v>79</v>
      </c>
      <c r="O7" s="81">
        <v>80</v>
      </c>
      <c r="P7" s="81">
        <v>81</v>
      </c>
      <c r="Q7" s="81">
        <v>82</v>
      </c>
      <c r="R7" s="81">
        <v>83</v>
      </c>
      <c r="S7" s="81">
        <v>84</v>
      </c>
      <c r="T7" s="81">
        <v>85</v>
      </c>
      <c r="U7" s="81">
        <v>86</v>
      </c>
      <c r="V7" s="81">
        <v>87</v>
      </c>
      <c r="W7" s="81">
        <v>88</v>
      </c>
      <c r="X7" s="81">
        <v>89</v>
      </c>
      <c r="Y7" s="81">
        <v>90</v>
      </c>
      <c r="Z7" s="81">
        <v>91</v>
      </c>
      <c r="AA7" s="81">
        <v>92</v>
      </c>
    </row>
    <row r="8" spans="1:27" ht="17.25" thickBot="1" x14ac:dyDescent="0.45">
      <c r="A8" s="207" t="s">
        <v>122</v>
      </c>
      <c r="B8" s="208"/>
      <c r="C8" s="114" t="s">
        <v>139</v>
      </c>
      <c r="D8" s="114"/>
      <c r="E8" s="143"/>
      <c r="F8" s="143" t="s">
        <v>150</v>
      </c>
      <c r="G8" s="2" t="s">
        <v>158</v>
      </c>
      <c r="H8" s="2"/>
      <c r="I8" s="2"/>
      <c r="J8" s="2"/>
      <c r="K8" s="2"/>
      <c r="L8" s="2"/>
      <c r="M8" s="2" t="s">
        <v>123</v>
      </c>
      <c r="N8" s="2"/>
      <c r="O8" s="2"/>
      <c r="P8" s="2"/>
      <c r="Q8" s="2"/>
      <c r="R8" s="2"/>
      <c r="S8" s="2"/>
      <c r="T8" s="2"/>
      <c r="U8" s="2"/>
      <c r="V8" s="2"/>
      <c r="W8" s="83"/>
      <c r="X8" s="83"/>
      <c r="Y8" s="2"/>
      <c r="Z8" s="2"/>
      <c r="AA8" s="83" t="s">
        <v>192</v>
      </c>
    </row>
    <row r="9" spans="1:27" ht="17.25" thickBot="1" x14ac:dyDescent="0.45">
      <c r="A9" s="13" t="s">
        <v>43</v>
      </c>
      <c r="B9" s="92" t="s">
        <v>5</v>
      </c>
      <c r="C9" s="114"/>
      <c r="D9" s="114"/>
      <c r="E9" s="114"/>
      <c r="F9" s="114" t="s">
        <v>15</v>
      </c>
      <c r="G9" s="185" t="s">
        <v>15</v>
      </c>
      <c r="H9" s="185" t="s">
        <v>15</v>
      </c>
      <c r="I9" s="186" t="s">
        <v>16</v>
      </c>
      <c r="J9" s="186" t="s">
        <v>16</v>
      </c>
      <c r="K9" s="186" t="s">
        <v>16</v>
      </c>
      <c r="L9" s="186" t="s">
        <v>16</v>
      </c>
      <c r="M9" s="186" t="s">
        <v>16</v>
      </c>
      <c r="N9" s="186" t="s">
        <v>16</v>
      </c>
      <c r="O9" s="187" t="s">
        <v>17</v>
      </c>
      <c r="P9" s="187" t="s">
        <v>17</v>
      </c>
      <c r="Q9" s="187" t="s">
        <v>17</v>
      </c>
      <c r="R9" s="188" t="s">
        <v>18</v>
      </c>
      <c r="S9" s="188" t="s">
        <v>18</v>
      </c>
      <c r="T9" s="188" t="s">
        <v>18</v>
      </c>
      <c r="U9" s="189" t="s">
        <v>19</v>
      </c>
      <c r="V9" s="189" t="s">
        <v>19</v>
      </c>
      <c r="W9" s="189" t="s">
        <v>19</v>
      </c>
      <c r="X9" s="189" t="s">
        <v>19</v>
      </c>
      <c r="Y9" s="2"/>
      <c r="Z9" s="2"/>
      <c r="AA9" s="2"/>
    </row>
    <row r="10" spans="1:27" ht="17.25" thickBot="1" x14ac:dyDescent="0.45">
      <c r="A10" s="14"/>
      <c r="B10" s="92"/>
      <c r="C10" s="114"/>
      <c r="D10" s="114"/>
      <c r="E10" s="114"/>
      <c r="F10" s="114" t="s">
        <v>127</v>
      </c>
      <c r="G10" s="185" t="s">
        <v>127</v>
      </c>
      <c r="H10" s="185" t="s">
        <v>127</v>
      </c>
      <c r="I10" s="186" t="s">
        <v>128</v>
      </c>
      <c r="J10" s="186" t="s">
        <v>128</v>
      </c>
      <c r="K10" s="186" t="s">
        <v>128</v>
      </c>
      <c r="L10" s="186" t="s">
        <v>128</v>
      </c>
      <c r="M10" s="186" t="s">
        <v>128</v>
      </c>
      <c r="N10" s="186" t="s">
        <v>128</v>
      </c>
      <c r="O10" s="187" t="s">
        <v>127</v>
      </c>
      <c r="P10" s="187" t="s">
        <v>127</v>
      </c>
      <c r="Q10" s="187" t="s">
        <v>127</v>
      </c>
      <c r="R10" s="188" t="s">
        <v>127</v>
      </c>
      <c r="S10" s="188" t="s">
        <v>127</v>
      </c>
      <c r="T10" s="188" t="s">
        <v>127</v>
      </c>
      <c r="U10" s="189" t="s">
        <v>129</v>
      </c>
      <c r="V10" s="189" t="s">
        <v>129</v>
      </c>
      <c r="W10" s="189" t="s">
        <v>129</v>
      </c>
      <c r="X10" s="189" t="s">
        <v>129</v>
      </c>
      <c r="Y10" s="2"/>
      <c r="Z10" s="2"/>
      <c r="AA10" s="2"/>
    </row>
    <row r="11" spans="1:27" ht="17.25" thickBot="1" x14ac:dyDescent="0.45">
      <c r="A11" s="201" t="s">
        <v>30</v>
      </c>
      <c r="B11" s="93" t="s">
        <v>124</v>
      </c>
      <c r="C11" s="139">
        <v>700</v>
      </c>
      <c r="D11" s="139">
        <v>755</v>
      </c>
      <c r="E11" s="139">
        <f>D11*1.001</f>
        <v>755.75499999999988</v>
      </c>
      <c r="F11" s="139">
        <v>800</v>
      </c>
      <c r="G11" s="84">
        <v>700</v>
      </c>
      <c r="H11" s="84">
        <f t="shared" ref="H11:I11" si="0">G11*1.001</f>
        <v>700.69999999999993</v>
      </c>
      <c r="I11" s="84">
        <f t="shared" si="0"/>
        <v>701.4006999999998</v>
      </c>
      <c r="J11" s="84">
        <f t="shared" ref="J11" si="1">I11*1.001</f>
        <v>702.10210069999971</v>
      </c>
      <c r="K11" s="84">
        <f t="shared" ref="K11:L11" si="2">J11*1.001</f>
        <v>702.80420280069961</v>
      </c>
      <c r="L11" s="84">
        <f t="shared" si="2"/>
        <v>703.50700700350023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130</v>
      </c>
    </row>
    <row r="12" spans="1:27" ht="17.25" thickBot="1" x14ac:dyDescent="0.45">
      <c r="A12" s="202"/>
      <c r="B12" s="91" t="s">
        <v>31</v>
      </c>
      <c r="C12" s="115">
        <v>10</v>
      </c>
      <c r="D12" s="137">
        <v>30</v>
      </c>
      <c r="E12" s="116">
        <v>30</v>
      </c>
      <c r="F12" s="137">
        <v>40</v>
      </c>
      <c r="G12" s="85">
        <v>50</v>
      </c>
      <c r="H12" s="85">
        <v>50</v>
      </c>
      <c r="I12" s="85">
        <f t="shared" ref="I12:J12" si="3">H12</f>
        <v>50</v>
      </c>
      <c r="J12" s="85">
        <f t="shared" si="3"/>
        <v>50</v>
      </c>
      <c r="K12" s="85">
        <f t="shared" ref="K12" si="4">J12</f>
        <v>50</v>
      </c>
      <c r="L12" s="85">
        <f t="shared" ref="L12" si="5">K12</f>
        <v>50</v>
      </c>
      <c r="M12" s="120">
        <f t="shared" ref="M12:AA12" si="6">L12*0.96</f>
        <v>48</v>
      </c>
      <c r="N12" s="120">
        <f t="shared" si="6"/>
        <v>46.08</v>
      </c>
      <c r="O12" s="120">
        <f t="shared" si="6"/>
        <v>44.236799999999995</v>
      </c>
      <c r="P12" s="120">
        <f t="shared" si="6"/>
        <v>42.467327999999995</v>
      </c>
      <c r="Q12" s="120">
        <f t="shared" si="6"/>
        <v>40.768634879999993</v>
      </c>
      <c r="R12" s="120">
        <f t="shared" si="6"/>
        <v>39.137889484799992</v>
      </c>
      <c r="S12" s="85">
        <f t="shared" si="6"/>
        <v>37.572373905407993</v>
      </c>
      <c r="T12" s="85">
        <f t="shared" si="6"/>
        <v>36.069478949191669</v>
      </c>
      <c r="U12" s="85">
        <f t="shared" si="6"/>
        <v>34.626699791223999</v>
      </c>
      <c r="V12" s="85">
        <f t="shared" si="6"/>
        <v>33.241631799575039</v>
      </c>
      <c r="W12" s="85">
        <f t="shared" si="6"/>
        <v>31.911966527592035</v>
      </c>
      <c r="X12" s="85">
        <f t="shared" si="6"/>
        <v>30.635487866488354</v>
      </c>
      <c r="Y12" s="85">
        <f t="shared" si="6"/>
        <v>29.410068351828819</v>
      </c>
      <c r="Z12" s="85">
        <f t="shared" si="6"/>
        <v>28.233665617755666</v>
      </c>
      <c r="AA12" s="85">
        <f t="shared" si="6"/>
        <v>27.104318993045439</v>
      </c>
    </row>
    <row r="13" spans="1:27" ht="17.25" thickBot="1" x14ac:dyDescent="0.45">
      <c r="A13" s="202"/>
      <c r="B13" s="91" t="s">
        <v>45</v>
      </c>
      <c r="C13" s="116">
        <v>0</v>
      </c>
      <c r="D13" s="137">
        <v>0</v>
      </c>
      <c r="E13" s="116">
        <v>0</v>
      </c>
      <c r="F13" s="137">
        <v>0</v>
      </c>
      <c r="G13" s="85">
        <v>0</v>
      </c>
      <c r="H13" s="85">
        <v>0</v>
      </c>
      <c r="I13" s="85">
        <v>0</v>
      </c>
      <c r="J13" s="85">
        <v>0</v>
      </c>
      <c r="K13" s="85">
        <v>0</v>
      </c>
      <c r="L13" s="85">
        <v>0</v>
      </c>
      <c r="M13" s="159">
        <v>1500</v>
      </c>
      <c r="N13" s="120">
        <v>0</v>
      </c>
      <c r="O13" s="120">
        <v>0</v>
      </c>
      <c r="P13" s="120">
        <v>0</v>
      </c>
      <c r="Q13" s="120">
        <v>0</v>
      </c>
      <c r="R13" s="120">
        <v>0</v>
      </c>
      <c r="S13" s="85">
        <v>0</v>
      </c>
      <c r="T13" s="85">
        <v>0</v>
      </c>
      <c r="U13" s="85">
        <v>0</v>
      </c>
      <c r="V13" s="85"/>
      <c r="W13" s="85">
        <v>0</v>
      </c>
      <c r="X13" s="85">
        <v>0</v>
      </c>
      <c r="Y13" s="85">
        <v>0</v>
      </c>
      <c r="Z13" s="85">
        <v>0</v>
      </c>
      <c r="AA13" s="85">
        <v>0</v>
      </c>
    </row>
    <row r="14" spans="1:27" ht="17.25" thickBot="1" x14ac:dyDescent="0.45">
      <c r="A14" s="202"/>
      <c r="B14" s="91" t="s">
        <v>6</v>
      </c>
      <c r="C14" s="115">
        <v>58</v>
      </c>
      <c r="D14" s="115">
        <v>52</v>
      </c>
      <c r="E14" s="115">
        <v>50</v>
      </c>
      <c r="F14" s="115">
        <v>50</v>
      </c>
      <c r="G14" s="34">
        <v>6</v>
      </c>
      <c r="H14" s="34">
        <v>2</v>
      </c>
      <c r="I14" s="34">
        <v>2</v>
      </c>
      <c r="J14" s="34">
        <v>2</v>
      </c>
      <c r="K14" s="34">
        <v>2</v>
      </c>
      <c r="L14" s="34">
        <v>2</v>
      </c>
      <c r="M14" s="153">
        <v>2</v>
      </c>
      <c r="N14" s="153">
        <v>2</v>
      </c>
      <c r="O14" s="153">
        <v>2</v>
      </c>
      <c r="P14" s="153">
        <v>2</v>
      </c>
      <c r="Q14" s="153">
        <v>2</v>
      </c>
      <c r="R14" s="153">
        <v>2</v>
      </c>
      <c r="S14" s="34">
        <v>2</v>
      </c>
      <c r="T14" s="34">
        <v>2</v>
      </c>
      <c r="U14" s="34">
        <v>2</v>
      </c>
      <c r="V14" s="34">
        <v>2</v>
      </c>
      <c r="W14" s="34">
        <v>2</v>
      </c>
      <c r="X14" s="34">
        <v>2</v>
      </c>
      <c r="Y14" s="34">
        <v>2</v>
      </c>
      <c r="Z14" s="34">
        <v>2</v>
      </c>
      <c r="AA14" s="34">
        <v>2</v>
      </c>
    </row>
    <row r="15" spans="1:27" ht="17.25" thickBot="1" x14ac:dyDescent="0.45">
      <c r="A15" s="203"/>
      <c r="B15" s="94" t="s">
        <v>7</v>
      </c>
      <c r="C15" s="142">
        <f>SUM(C11:C14)</f>
        <v>768</v>
      </c>
      <c r="D15" s="137">
        <f>SUM(D11:D14)</f>
        <v>837</v>
      </c>
      <c r="E15" s="116">
        <f>SUM(E11:E14)</f>
        <v>835.75499999999988</v>
      </c>
      <c r="F15" s="137">
        <f t="shared" ref="F15:AA15" si="7">SUM(F11:F14)</f>
        <v>890</v>
      </c>
      <c r="G15" s="86">
        <f t="shared" si="7"/>
        <v>756</v>
      </c>
      <c r="H15" s="86">
        <f t="shared" si="7"/>
        <v>752.69999999999993</v>
      </c>
      <c r="I15" s="86">
        <f t="shared" si="7"/>
        <v>753.4006999999998</v>
      </c>
      <c r="J15" s="86">
        <f t="shared" si="7"/>
        <v>754.10210069999971</v>
      </c>
      <c r="K15" s="86">
        <f t="shared" si="7"/>
        <v>754.80420280069961</v>
      </c>
      <c r="L15" s="86">
        <f t="shared" si="7"/>
        <v>755.50700700350023</v>
      </c>
      <c r="M15" s="154">
        <f t="shared" si="7"/>
        <v>1550</v>
      </c>
      <c r="N15" s="154">
        <f t="shared" si="7"/>
        <v>48.08</v>
      </c>
      <c r="O15" s="154">
        <f t="shared" si="7"/>
        <v>46.236799999999995</v>
      </c>
      <c r="P15" s="154">
        <f t="shared" si="7"/>
        <v>44.467327999999995</v>
      </c>
      <c r="Q15" s="154">
        <f t="shared" si="7"/>
        <v>42.768634879999993</v>
      </c>
      <c r="R15" s="154">
        <f t="shared" si="7"/>
        <v>41.137889484799992</v>
      </c>
      <c r="S15" s="86">
        <f t="shared" si="7"/>
        <v>39.572373905407993</v>
      </c>
      <c r="T15" s="86">
        <f t="shared" si="7"/>
        <v>38.069478949191669</v>
      </c>
      <c r="U15" s="86">
        <f t="shared" si="7"/>
        <v>36.626699791223999</v>
      </c>
      <c r="V15" s="86">
        <f t="shared" si="7"/>
        <v>35.241631799575039</v>
      </c>
      <c r="W15" s="86">
        <f t="shared" si="7"/>
        <v>33.911966527592035</v>
      </c>
      <c r="X15" s="86">
        <f t="shared" si="7"/>
        <v>32.635487866488354</v>
      </c>
      <c r="Y15" s="86">
        <f t="shared" si="7"/>
        <v>31.410068351828819</v>
      </c>
      <c r="Z15" s="86">
        <f t="shared" si="7"/>
        <v>30.233665617755666</v>
      </c>
      <c r="AA15" s="86">
        <f t="shared" si="7"/>
        <v>159.10431899304544</v>
      </c>
    </row>
    <row r="16" spans="1:27" ht="17.25" thickBot="1" x14ac:dyDescent="0.45">
      <c r="A16" s="204" t="s">
        <v>35</v>
      </c>
      <c r="B16" s="95" t="s">
        <v>8</v>
      </c>
      <c r="C16" s="137">
        <v>230</v>
      </c>
      <c r="D16" s="137">
        <f>C16*1.02</f>
        <v>234.6</v>
      </c>
      <c r="E16" s="116">
        <f>D16*1.02</f>
        <v>239.292</v>
      </c>
      <c r="F16" s="137">
        <f>E16*1.02</f>
        <v>244.07784000000001</v>
      </c>
      <c r="G16" s="85">
        <f>F16*1.02</f>
        <v>248.95939680000001</v>
      </c>
      <c r="H16" s="85">
        <f t="shared" ref="H16:AA16" si="8">G16*1.02</f>
        <v>253.93858473600002</v>
      </c>
      <c r="I16" s="85">
        <f t="shared" si="8"/>
        <v>259.01735643072004</v>
      </c>
      <c r="J16" s="85">
        <f t="shared" si="8"/>
        <v>264.19770355933446</v>
      </c>
      <c r="K16" s="85">
        <f t="shared" si="8"/>
        <v>269.48165763052117</v>
      </c>
      <c r="L16" s="85">
        <f t="shared" si="8"/>
        <v>274.8712907831316</v>
      </c>
      <c r="M16" s="120">
        <f t="shared" si="8"/>
        <v>280.36871659879421</v>
      </c>
      <c r="N16" s="120">
        <f t="shared" si="8"/>
        <v>285.97609093077011</v>
      </c>
      <c r="O16" s="120">
        <f t="shared" si="8"/>
        <v>291.69561274938553</v>
      </c>
      <c r="P16" s="120">
        <f t="shared" si="8"/>
        <v>297.52952500437323</v>
      </c>
      <c r="Q16" s="120">
        <f t="shared" si="8"/>
        <v>303.48011550446068</v>
      </c>
      <c r="R16" s="120">
        <f t="shared" si="8"/>
        <v>309.54971781454992</v>
      </c>
      <c r="S16" s="85">
        <f t="shared" si="8"/>
        <v>315.74071217084094</v>
      </c>
      <c r="T16" s="85">
        <f t="shared" si="8"/>
        <v>322.05552641425777</v>
      </c>
      <c r="U16" s="85">
        <f t="shared" si="8"/>
        <v>328.49663694254292</v>
      </c>
      <c r="V16" s="85">
        <f t="shared" si="8"/>
        <v>335.06656968139379</v>
      </c>
      <c r="W16" s="85">
        <f t="shared" si="8"/>
        <v>341.76790107502165</v>
      </c>
      <c r="X16" s="85">
        <f t="shared" si="8"/>
        <v>348.60325909652209</v>
      </c>
      <c r="Y16" s="85">
        <f t="shared" si="8"/>
        <v>355.57532427845257</v>
      </c>
      <c r="Z16" s="85">
        <f t="shared" si="8"/>
        <v>362.68683076402164</v>
      </c>
      <c r="AA16" s="85">
        <f t="shared" si="8"/>
        <v>369.94056737930208</v>
      </c>
    </row>
    <row r="17" spans="1:27" ht="17.25" thickBot="1" x14ac:dyDescent="0.45">
      <c r="A17" s="205"/>
      <c r="B17" s="96" t="s">
        <v>43</v>
      </c>
      <c r="C17" s="137">
        <v>0</v>
      </c>
      <c r="D17" s="137">
        <v>0</v>
      </c>
      <c r="E17" s="137">
        <v>0</v>
      </c>
      <c r="F17" s="116">
        <f>1.7*12</f>
        <v>20.399999999999999</v>
      </c>
      <c r="G17" s="198">
        <v>30</v>
      </c>
      <c r="H17" s="85">
        <v>30</v>
      </c>
      <c r="I17" s="85">
        <v>40</v>
      </c>
      <c r="J17" s="85">
        <v>40</v>
      </c>
      <c r="K17" s="85">
        <v>50</v>
      </c>
      <c r="L17" s="85">
        <v>50</v>
      </c>
      <c r="M17" s="85">
        <v>60</v>
      </c>
      <c r="N17" s="120">
        <v>60</v>
      </c>
      <c r="O17" s="155">
        <v>155</v>
      </c>
      <c r="P17" s="155">
        <v>141</v>
      </c>
      <c r="Q17" s="155">
        <v>141</v>
      </c>
      <c r="R17" s="155">
        <v>116</v>
      </c>
      <c r="S17" s="155">
        <v>100</v>
      </c>
      <c r="T17" s="87">
        <v>100</v>
      </c>
      <c r="U17" s="87">
        <f>13.9*12</f>
        <v>166.8</v>
      </c>
      <c r="V17" s="87">
        <f>11.8*12</f>
        <v>141.60000000000002</v>
      </c>
      <c r="W17" s="87">
        <f>11.8*12</f>
        <v>141.60000000000002</v>
      </c>
      <c r="X17" s="87">
        <f>11.8*12</f>
        <v>141.60000000000002</v>
      </c>
      <c r="Y17" s="85">
        <v>0</v>
      </c>
      <c r="Z17" s="85">
        <v>0</v>
      </c>
      <c r="AA17" s="85">
        <v>0</v>
      </c>
    </row>
    <row r="18" spans="1:27" ht="17.25" thickBot="1" x14ac:dyDescent="0.45">
      <c r="A18" s="205"/>
      <c r="B18" s="95" t="s">
        <v>125</v>
      </c>
      <c r="C18" s="137">
        <v>10</v>
      </c>
      <c r="D18" s="137">
        <v>10</v>
      </c>
      <c r="E18" s="137">
        <v>10</v>
      </c>
      <c r="F18" s="116">
        <v>24</v>
      </c>
      <c r="G18" s="198">
        <v>24</v>
      </c>
      <c r="H18" s="85">
        <v>24</v>
      </c>
      <c r="I18" s="85">
        <v>36</v>
      </c>
      <c r="J18" s="85">
        <v>36</v>
      </c>
      <c r="K18" s="85">
        <v>36</v>
      </c>
      <c r="L18" s="85">
        <v>48</v>
      </c>
      <c r="M18" s="85">
        <v>48</v>
      </c>
      <c r="N18" s="120">
        <v>48</v>
      </c>
      <c r="O18" s="120">
        <v>48</v>
      </c>
      <c r="P18" s="120">
        <v>48</v>
      </c>
      <c r="Q18" s="120">
        <v>48</v>
      </c>
      <c r="R18" s="120">
        <v>60</v>
      </c>
      <c r="S18" s="120">
        <v>60</v>
      </c>
      <c r="T18" s="85">
        <v>60</v>
      </c>
      <c r="U18" s="87">
        <f>7*12</f>
        <v>84</v>
      </c>
      <c r="V18" s="87">
        <f>7*12</f>
        <v>84</v>
      </c>
      <c r="W18" s="87">
        <f>7*12</f>
        <v>84</v>
      </c>
      <c r="X18" s="87">
        <f>7*12</f>
        <v>84</v>
      </c>
      <c r="Y18" s="85">
        <v>0</v>
      </c>
      <c r="Z18" s="85">
        <v>0</v>
      </c>
      <c r="AA18" s="85">
        <v>0</v>
      </c>
    </row>
    <row r="19" spans="1:27" ht="17.25" thickBot="1" x14ac:dyDescent="0.45">
      <c r="A19" s="205"/>
      <c r="B19" s="95" t="s">
        <v>9</v>
      </c>
      <c r="C19" s="137">
        <v>78.924000000000007</v>
      </c>
      <c r="D19" s="137">
        <v>78.924000000000007</v>
      </c>
      <c r="E19" s="116">
        <v>79</v>
      </c>
      <c r="F19" s="137">
        <v>79</v>
      </c>
      <c r="G19" s="85">
        <v>26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M19" s="120">
        <v>0</v>
      </c>
      <c r="N19" s="120">
        <v>0</v>
      </c>
      <c r="O19" s="120">
        <v>0</v>
      </c>
      <c r="P19" s="120">
        <v>0</v>
      </c>
      <c r="Q19" s="120">
        <v>0</v>
      </c>
      <c r="R19" s="120">
        <v>0</v>
      </c>
      <c r="S19" s="85">
        <v>0</v>
      </c>
      <c r="T19" s="85">
        <v>0</v>
      </c>
      <c r="U19" s="85">
        <v>0</v>
      </c>
      <c r="V19" s="85">
        <v>0</v>
      </c>
      <c r="W19" s="85">
        <v>0</v>
      </c>
      <c r="X19" s="85">
        <v>0</v>
      </c>
      <c r="Y19" s="85">
        <v>0</v>
      </c>
      <c r="Z19" s="85">
        <v>0</v>
      </c>
      <c r="AA19" s="85">
        <v>0</v>
      </c>
    </row>
    <row r="20" spans="1:27" ht="17.25" thickBot="1" x14ac:dyDescent="0.45">
      <c r="A20" s="205"/>
      <c r="B20" s="95" t="s">
        <v>149</v>
      </c>
      <c r="C20" s="137">
        <v>28</v>
      </c>
      <c r="D20" s="137">
        <v>28</v>
      </c>
      <c r="E20" s="116">
        <v>28</v>
      </c>
      <c r="F20" s="137">
        <v>28</v>
      </c>
      <c r="G20" s="85">
        <v>28</v>
      </c>
      <c r="H20" s="85">
        <v>28</v>
      </c>
      <c r="I20" s="85">
        <v>28</v>
      </c>
      <c r="J20" s="85">
        <v>28</v>
      </c>
      <c r="K20" s="85">
        <v>28</v>
      </c>
      <c r="L20" s="85">
        <v>28</v>
      </c>
      <c r="M20" s="120">
        <v>10</v>
      </c>
      <c r="N20" s="120">
        <v>10</v>
      </c>
      <c r="O20" s="120">
        <v>10</v>
      </c>
      <c r="P20" s="120">
        <v>10</v>
      </c>
      <c r="Q20" s="120">
        <v>10</v>
      </c>
      <c r="R20" s="120">
        <v>10</v>
      </c>
      <c r="S20" s="85">
        <v>10</v>
      </c>
      <c r="T20" s="85">
        <v>10</v>
      </c>
      <c r="U20" s="85">
        <v>10</v>
      </c>
      <c r="V20" s="85">
        <v>10</v>
      </c>
      <c r="W20" s="85">
        <v>10</v>
      </c>
      <c r="X20" s="85">
        <v>10</v>
      </c>
      <c r="Y20" s="85">
        <v>10</v>
      </c>
      <c r="Z20" s="85">
        <v>10</v>
      </c>
      <c r="AA20" s="85">
        <v>10</v>
      </c>
    </row>
    <row r="21" spans="1:27" ht="17.25" thickBot="1" x14ac:dyDescent="0.45">
      <c r="A21" s="205"/>
      <c r="B21" s="95" t="s">
        <v>166</v>
      </c>
      <c r="C21" s="137">
        <v>0</v>
      </c>
      <c r="D21" s="137">
        <v>0</v>
      </c>
      <c r="E21" s="116">
        <v>0</v>
      </c>
      <c r="F21" s="137">
        <v>30</v>
      </c>
      <c r="G21" s="87">
        <v>90</v>
      </c>
      <c r="H21" s="87">
        <v>60</v>
      </c>
      <c r="I21" s="87">
        <v>120</v>
      </c>
      <c r="J21" s="87">
        <v>90</v>
      </c>
      <c r="K21" s="155">
        <v>90</v>
      </c>
      <c r="L21" s="155">
        <v>90</v>
      </c>
      <c r="M21" s="155">
        <v>90</v>
      </c>
      <c r="N21" s="155">
        <v>90</v>
      </c>
      <c r="O21" s="155">
        <v>90</v>
      </c>
      <c r="P21" s="155">
        <v>90</v>
      </c>
      <c r="Q21" s="87">
        <v>90</v>
      </c>
      <c r="R21" s="155">
        <v>90</v>
      </c>
      <c r="S21" s="155">
        <v>90</v>
      </c>
      <c r="T21" s="155">
        <v>90</v>
      </c>
      <c r="U21" s="155">
        <v>90</v>
      </c>
      <c r="V21" s="87">
        <v>90</v>
      </c>
      <c r="W21" s="87">
        <v>60</v>
      </c>
      <c r="X21" s="87">
        <v>60</v>
      </c>
      <c r="Y21" s="85">
        <v>0</v>
      </c>
      <c r="Z21" s="85">
        <v>0</v>
      </c>
      <c r="AA21" s="85">
        <v>0</v>
      </c>
    </row>
    <row r="22" spans="1:27" ht="17.25" thickBot="1" x14ac:dyDescent="0.45">
      <c r="A22" s="205"/>
      <c r="B22" s="95" t="s">
        <v>41</v>
      </c>
      <c r="C22" s="137">
        <v>45</v>
      </c>
      <c r="D22" s="137">
        <v>45</v>
      </c>
      <c r="E22" s="116">
        <v>45</v>
      </c>
      <c r="F22" s="137">
        <v>45</v>
      </c>
      <c r="G22" s="85">
        <v>45</v>
      </c>
      <c r="H22" s="85">
        <v>45</v>
      </c>
      <c r="I22" s="85">
        <v>45</v>
      </c>
      <c r="J22" s="85">
        <v>45</v>
      </c>
      <c r="K22" s="85">
        <v>45</v>
      </c>
      <c r="L22" s="85">
        <v>45</v>
      </c>
      <c r="M22" s="120">
        <v>27</v>
      </c>
      <c r="N22" s="120">
        <v>27</v>
      </c>
      <c r="O22" s="120">
        <v>27</v>
      </c>
      <c r="P22" s="120">
        <v>27</v>
      </c>
      <c r="Q22" s="120">
        <v>27</v>
      </c>
      <c r="R22" s="120">
        <v>27</v>
      </c>
      <c r="S22" s="85">
        <v>27</v>
      </c>
      <c r="T22" s="85">
        <v>27</v>
      </c>
      <c r="U22" s="85">
        <v>27</v>
      </c>
      <c r="V22" s="85">
        <v>27</v>
      </c>
      <c r="W22" s="85">
        <v>27</v>
      </c>
      <c r="X22" s="85">
        <v>27</v>
      </c>
      <c r="Y22" s="85">
        <v>27</v>
      </c>
      <c r="Z22" s="85">
        <v>27</v>
      </c>
      <c r="AA22" s="85">
        <v>27</v>
      </c>
    </row>
    <row r="23" spans="1:27" ht="17.25" thickBot="1" x14ac:dyDescent="0.45">
      <c r="A23" s="205"/>
      <c r="B23" s="148" t="s">
        <v>167</v>
      </c>
      <c r="C23" s="137">
        <v>0</v>
      </c>
      <c r="D23" s="137">
        <v>0</v>
      </c>
      <c r="E23" s="116">
        <v>0</v>
      </c>
      <c r="F23" s="137">
        <v>0</v>
      </c>
      <c r="G23" s="85">
        <v>0</v>
      </c>
      <c r="H23" s="85">
        <v>0</v>
      </c>
      <c r="I23" s="85">
        <v>0</v>
      </c>
      <c r="J23" s="85">
        <v>0</v>
      </c>
      <c r="K23" s="85">
        <v>0</v>
      </c>
      <c r="L23" s="85">
        <v>0</v>
      </c>
      <c r="M23" s="87">
        <v>160</v>
      </c>
      <c r="N23" s="87">
        <v>120</v>
      </c>
      <c r="O23" s="120">
        <f>40+40</f>
        <v>80</v>
      </c>
      <c r="P23" s="120">
        <f t="shared" ref="P23:Z23" si="9">40+40</f>
        <v>80</v>
      </c>
      <c r="Q23" s="120">
        <f t="shared" si="9"/>
        <v>80</v>
      </c>
      <c r="R23" s="120">
        <f t="shared" si="9"/>
        <v>80</v>
      </c>
      <c r="S23" s="85">
        <f t="shared" si="9"/>
        <v>80</v>
      </c>
      <c r="T23" s="120">
        <f t="shared" si="9"/>
        <v>80</v>
      </c>
      <c r="U23" s="120">
        <f t="shared" si="9"/>
        <v>80</v>
      </c>
      <c r="V23" s="120">
        <f t="shared" si="9"/>
        <v>80</v>
      </c>
      <c r="W23" s="120">
        <f t="shared" si="9"/>
        <v>80</v>
      </c>
      <c r="X23" s="85">
        <f t="shared" si="9"/>
        <v>80</v>
      </c>
      <c r="Y23" s="85">
        <f t="shared" si="9"/>
        <v>80</v>
      </c>
      <c r="Z23" s="85">
        <f t="shared" si="9"/>
        <v>80</v>
      </c>
      <c r="AA23" s="85">
        <v>20</v>
      </c>
    </row>
    <row r="24" spans="1:27" ht="17.25" thickBot="1" x14ac:dyDescent="0.45">
      <c r="A24" s="205"/>
      <c r="B24" s="95" t="s">
        <v>10</v>
      </c>
      <c r="C24" s="116">
        <v>70</v>
      </c>
      <c r="D24" s="116">
        <v>70</v>
      </c>
      <c r="E24" s="116">
        <v>70</v>
      </c>
      <c r="F24" s="137">
        <v>70</v>
      </c>
      <c r="G24" s="87">
        <v>150</v>
      </c>
      <c r="H24" s="85">
        <v>70</v>
      </c>
      <c r="I24" s="85">
        <v>70</v>
      </c>
      <c r="J24" s="85">
        <v>70</v>
      </c>
      <c r="K24" s="85">
        <v>70</v>
      </c>
      <c r="L24" s="85">
        <v>70</v>
      </c>
      <c r="M24" s="85">
        <v>70</v>
      </c>
      <c r="N24" s="85">
        <v>70</v>
      </c>
      <c r="O24" s="85">
        <v>70</v>
      </c>
      <c r="P24" s="85">
        <v>70</v>
      </c>
      <c r="Q24" s="85">
        <v>70</v>
      </c>
      <c r="R24" s="85">
        <v>70</v>
      </c>
      <c r="S24" s="85">
        <v>70</v>
      </c>
      <c r="T24" s="85">
        <v>70</v>
      </c>
      <c r="U24" s="85">
        <v>70</v>
      </c>
      <c r="V24" s="85">
        <v>70</v>
      </c>
      <c r="W24" s="85">
        <v>70</v>
      </c>
      <c r="X24" s="85">
        <v>70</v>
      </c>
      <c r="Y24" s="85">
        <v>70</v>
      </c>
      <c r="Z24" s="85">
        <v>70</v>
      </c>
      <c r="AA24" s="85">
        <v>70</v>
      </c>
    </row>
    <row r="25" spans="1:27" ht="17.25" thickBot="1" x14ac:dyDescent="0.45">
      <c r="A25" s="206"/>
      <c r="B25" s="95" t="s">
        <v>13</v>
      </c>
      <c r="C25" s="137">
        <f>SUM(C16:C24)</f>
        <v>461.92399999999998</v>
      </c>
      <c r="D25" s="137">
        <f t="shared" ref="D25:AA25" si="10">SUM(D16:D24)</f>
        <v>466.524</v>
      </c>
      <c r="E25" s="116">
        <f t="shared" si="10"/>
        <v>471.29200000000003</v>
      </c>
      <c r="F25" s="137">
        <f t="shared" si="10"/>
        <v>540.47784000000001</v>
      </c>
      <c r="G25" s="88">
        <f t="shared" si="10"/>
        <v>641.95939680000004</v>
      </c>
      <c r="H25" s="88">
        <f t="shared" si="10"/>
        <v>510.93858473600005</v>
      </c>
      <c r="I25" s="88">
        <f t="shared" si="10"/>
        <v>598.01735643072004</v>
      </c>
      <c r="J25" s="88">
        <f t="shared" si="10"/>
        <v>573.19770355933451</v>
      </c>
      <c r="K25" s="88">
        <f t="shared" si="10"/>
        <v>588.48165763052111</v>
      </c>
      <c r="L25" s="88">
        <f t="shared" si="10"/>
        <v>605.8712907831316</v>
      </c>
      <c r="M25" s="156">
        <f>SUM(M16:M24)</f>
        <v>745.36871659879421</v>
      </c>
      <c r="N25" s="156">
        <f t="shared" si="10"/>
        <v>710.97609093077017</v>
      </c>
      <c r="O25" s="156">
        <f t="shared" si="10"/>
        <v>771.69561274938553</v>
      </c>
      <c r="P25" s="156">
        <f t="shared" si="10"/>
        <v>763.52952500437323</v>
      </c>
      <c r="Q25" s="156">
        <f t="shared" si="10"/>
        <v>769.48011550446063</v>
      </c>
      <c r="R25" s="156">
        <f t="shared" si="10"/>
        <v>762.54971781454992</v>
      </c>
      <c r="S25" s="88">
        <f t="shared" si="10"/>
        <v>752.74071217084088</v>
      </c>
      <c r="T25" s="88">
        <f t="shared" si="10"/>
        <v>759.05552641425777</v>
      </c>
      <c r="U25" s="88">
        <f t="shared" si="10"/>
        <v>856.29663694254293</v>
      </c>
      <c r="V25" s="88">
        <f t="shared" si="10"/>
        <v>837.66656968139387</v>
      </c>
      <c r="W25" s="88">
        <f t="shared" si="10"/>
        <v>814.36790107502168</v>
      </c>
      <c r="X25" s="88">
        <f t="shared" si="10"/>
        <v>821.20325909652206</v>
      </c>
      <c r="Y25" s="88">
        <f t="shared" si="10"/>
        <v>542.57532427845263</v>
      </c>
      <c r="Z25" s="88">
        <f t="shared" si="10"/>
        <v>549.68683076402158</v>
      </c>
      <c r="AA25" s="88">
        <f t="shared" si="10"/>
        <v>496.94056737930208</v>
      </c>
    </row>
    <row r="26" spans="1:27" ht="17.25" thickBot="1" x14ac:dyDescent="0.45">
      <c r="A26" s="16" t="s">
        <v>14</v>
      </c>
      <c r="B26" s="97"/>
      <c r="C26" s="116">
        <f>C15-C25</f>
        <v>306.07600000000002</v>
      </c>
      <c r="D26" s="137">
        <f t="shared" ref="D26:AA26" si="11">D15-D25</f>
        <v>370.476</v>
      </c>
      <c r="E26" s="137">
        <f t="shared" si="11"/>
        <v>364.46299999999985</v>
      </c>
      <c r="F26" s="137">
        <f t="shared" si="11"/>
        <v>349.52215999999999</v>
      </c>
      <c r="G26" s="85">
        <f t="shared" si="11"/>
        <v>114.04060319999996</v>
      </c>
      <c r="H26" s="85">
        <f t="shared" si="11"/>
        <v>241.76141526399988</v>
      </c>
      <c r="I26" s="85">
        <f t="shared" si="11"/>
        <v>155.38334356927976</v>
      </c>
      <c r="J26" s="85">
        <f t="shared" si="11"/>
        <v>180.9043971406652</v>
      </c>
      <c r="K26" s="85">
        <f t="shared" si="11"/>
        <v>166.3225451701785</v>
      </c>
      <c r="L26" s="85">
        <f t="shared" si="11"/>
        <v>149.63571622036864</v>
      </c>
      <c r="M26" s="85">
        <f t="shared" si="11"/>
        <v>804.63128340120579</v>
      </c>
      <c r="N26" s="85">
        <f t="shared" si="11"/>
        <v>-662.89609093077013</v>
      </c>
      <c r="O26" s="85">
        <f t="shared" si="11"/>
        <v>-725.45881274938552</v>
      </c>
      <c r="P26" s="85">
        <f t="shared" si="11"/>
        <v>-719.06219700437327</v>
      </c>
      <c r="Q26" s="85">
        <f t="shared" si="11"/>
        <v>-726.71148062446059</v>
      </c>
      <c r="R26" s="85">
        <f t="shared" si="11"/>
        <v>-721.41182832974994</v>
      </c>
      <c r="S26" s="85">
        <f t="shared" si="11"/>
        <v>-713.16833826543291</v>
      </c>
      <c r="T26" s="85">
        <f t="shared" si="11"/>
        <v>-720.98604746506612</v>
      </c>
      <c r="U26" s="85">
        <f t="shared" si="11"/>
        <v>-819.66993715131889</v>
      </c>
      <c r="V26" s="85">
        <f t="shared" si="11"/>
        <v>-802.42493788181878</v>
      </c>
      <c r="W26" s="85">
        <f t="shared" si="11"/>
        <v>-780.45593454742959</v>
      </c>
      <c r="X26" s="85">
        <f t="shared" si="11"/>
        <v>-788.56777123003371</v>
      </c>
      <c r="Y26" s="85">
        <f t="shared" si="11"/>
        <v>-511.16525592662379</v>
      </c>
      <c r="Z26" s="85">
        <f t="shared" si="11"/>
        <v>-519.45316514626586</v>
      </c>
      <c r="AA26" s="120">
        <f t="shared" si="11"/>
        <v>-337.83624838625667</v>
      </c>
    </row>
    <row r="27" spans="1:27" ht="17.25" thickBot="1" x14ac:dyDescent="0.45">
      <c r="A27" s="16" t="s">
        <v>126</v>
      </c>
      <c r="B27" s="97">
        <v>2197</v>
      </c>
      <c r="C27" s="115">
        <f t="shared" ref="C27:D27" si="12">(((B27-1000)*1.07)+1000)+C26</f>
        <v>2586.866</v>
      </c>
      <c r="D27" s="115">
        <f t="shared" si="12"/>
        <v>3068.4226200000003</v>
      </c>
      <c r="E27" s="115">
        <f>(((D27-1000)*1.07)+1000)+E26</f>
        <v>3577.6752034000001</v>
      </c>
      <c r="F27" s="115">
        <f>(((E27-1000)*1.07)+1000)+F26</f>
        <v>4107.6346276380009</v>
      </c>
      <c r="G27" s="177">
        <f t="shared" ref="G27:AA27" si="13">(((F27-1000)*1.07)+1000)+G26</f>
        <v>4439.2096547726615</v>
      </c>
      <c r="H27" s="177">
        <f t="shared" si="13"/>
        <v>4921.7157458707479</v>
      </c>
      <c r="I27" s="34">
        <f t="shared" si="13"/>
        <v>5351.6191916509797</v>
      </c>
      <c r="J27" s="34">
        <f t="shared" si="13"/>
        <v>5837.1369322072142</v>
      </c>
      <c r="K27" s="34">
        <f t="shared" si="13"/>
        <v>6342.0590626318981</v>
      </c>
      <c r="L27" s="34">
        <f t="shared" si="13"/>
        <v>6865.6389132365002</v>
      </c>
      <c r="M27" s="153">
        <f t="shared" si="13"/>
        <v>8080.8649205642614</v>
      </c>
      <c r="N27" s="153">
        <f>(((M27-1000)*1.07)+1000)+N26</f>
        <v>7913.6293740729907</v>
      </c>
      <c r="O27" s="153">
        <f t="shared" si="13"/>
        <v>7672.1246175087153</v>
      </c>
      <c r="P27" s="153">
        <f t="shared" si="13"/>
        <v>7420.1111437299523</v>
      </c>
      <c r="Q27" s="153">
        <f t="shared" si="13"/>
        <v>7142.8074431665882</v>
      </c>
      <c r="R27" s="153">
        <f t="shared" si="13"/>
        <v>6851.3921358584994</v>
      </c>
      <c r="S27" s="34">
        <f t="shared" si="13"/>
        <v>6547.821247103162</v>
      </c>
      <c r="T27" s="34">
        <f t="shared" si="13"/>
        <v>6215.1826869353181</v>
      </c>
      <c r="U27" s="34">
        <f t="shared" si="13"/>
        <v>5760.5755378694721</v>
      </c>
      <c r="V27" s="34">
        <f t="shared" si="13"/>
        <v>5291.3908876385167</v>
      </c>
      <c r="W27" s="34">
        <f t="shared" si="13"/>
        <v>4811.3323152257835</v>
      </c>
      <c r="X27" s="34">
        <f t="shared" si="13"/>
        <v>4289.5578060615544</v>
      </c>
      <c r="Y27" s="34">
        <f t="shared" si="13"/>
        <v>4008.6615965592391</v>
      </c>
      <c r="Z27" s="34">
        <f t="shared" si="13"/>
        <v>3699.8147431721209</v>
      </c>
      <c r="AA27" s="34">
        <f t="shared" si="13"/>
        <v>3550.9655268079127</v>
      </c>
    </row>
    <row r="28" spans="1:27" x14ac:dyDescent="0.4">
      <c r="D28" s="89"/>
      <c r="E28" s="89"/>
      <c r="F28" s="89"/>
      <c r="G28" s="89"/>
      <c r="H28" s="89"/>
    </row>
    <row r="29" spans="1:27" ht="17.25" thickBot="1" x14ac:dyDescent="0.45">
      <c r="A29" s="1" t="s">
        <v>433</v>
      </c>
      <c r="D29" s="89"/>
      <c r="E29" s="89"/>
      <c r="F29" s="89"/>
      <c r="G29" s="89"/>
      <c r="H29" s="89"/>
    </row>
    <row r="30" spans="1:27" ht="17.25" thickBot="1" x14ac:dyDescent="0.45">
      <c r="A30" s="12" t="s">
        <v>0</v>
      </c>
      <c r="B30" s="90" t="s">
        <v>1</v>
      </c>
      <c r="C30" s="15">
        <v>2021</v>
      </c>
      <c r="D30" s="15">
        <v>2022</v>
      </c>
      <c r="E30" s="15">
        <v>2023</v>
      </c>
      <c r="F30" s="15">
        <v>2024</v>
      </c>
      <c r="G30" s="15">
        <v>2025</v>
      </c>
      <c r="H30" s="15">
        <v>2026</v>
      </c>
      <c r="I30" s="15">
        <v>2027</v>
      </c>
      <c r="J30" s="15">
        <v>2028</v>
      </c>
      <c r="K30" s="15">
        <v>2029</v>
      </c>
      <c r="L30" s="15">
        <v>2030</v>
      </c>
      <c r="M30" s="15">
        <v>2031</v>
      </c>
      <c r="N30" s="15">
        <v>2032</v>
      </c>
      <c r="O30" s="15">
        <v>2033</v>
      </c>
      <c r="P30" s="15">
        <v>2034</v>
      </c>
      <c r="Q30" s="15">
        <v>2035</v>
      </c>
      <c r="R30" s="15">
        <v>2036</v>
      </c>
      <c r="S30" s="15">
        <v>2037</v>
      </c>
      <c r="T30" s="15">
        <v>2038</v>
      </c>
      <c r="U30" s="15">
        <v>2039</v>
      </c>
      <c r="V30" s="15">
        <v>2040</v>
      </c>
      <c r="W30" s="15">
        <v>2041</v>
      </c>
      <c r="X30" s="15">
        <v>2042</v>
      </c>
      <c r="Y30" s="15">
        <v>2043</v>
      </c>
      <c r="Z30" s="15">
        <v>2044</v>
      </c>
      <c r="AA30" s="15">
        <v>2045</v>
      </c>
    </row>
    <row r="31" spans="1:27" ht="17.25" thickBot="1" x14ac:dyDescent="0.45">
      <c r="A31" s="80" t="s">
        <v>2</v>
      </c>
      <c r="B31" s="91" t="s">
        <v>3</v>
      </c>
      <c r="C31" s="114">
        <v>41</v>
      </c>
      <c r="D31" s="114">
        <v>42</v>
      </c>
      <c r="E31" s="114">
        <v>43</v>
      </c>
      <c r="F31" s="114">
        <v>44</v>
      </c>
      <c r="G31" s="81">
        <v>45</v>
      </c>
      <c r="H31" s="81">
        <v>46</v>
      </c>
      <c r="I31" s="81">
        <v>47</v>
      </c>
      <c r="J31" s="81">
        <v>48</v>
      </c>
      <c r="K31" s="81">
        <v>49</v>
      </c>
      <c r="L31" s="81">
        <v>50</v>
      </c>
      <c r="M31" s="81">
        <v>51</v>
      </c>
      <c r="N31" s="81">
        <v>52</v>
      </c>
      <c r="O31" s="81">
        <v>53</v>
      </c>
      <c r="P31" s="81">
        <v>54</v>
      </c>
      <c r="Q31" s="81">
        <v>55</v>
      </c>
      <c r="R31" s="81">
        <v>56</v>
      </c>
      <c r="S31" s="81">
        <v>57</v>
      </c>
      <c r="T31" s="81">
        <v>58</v>
      </c>
      <c r="U31" s="81">
        <v>59</v>
      </c>
      <c r="V31" s="81">
        <v>60</v>
      </c>
      <c r="W31" s="81">
        <v>61</v>
      </c>
      <c r="X31" s="81">
        <v>62</v>
      </c>
      <c r="Y31" s="81">
        <v>63</v>
      </c>
      <c r="Z31" s="81">
        <v>64</v>
      </c>
      <c r="AA31" s="81">
        <v>65</v>
      </c>
    </row>
    <row r="32" spans="1:27" ht="17.25" thickBot="1" x14ac:dyDescent="0.45">
      <c r="A32" s="80" t="s">
        <v>4</v>
      </c>
      <c r="B32" s="91" t="s">
        <v>3</v>
      </c>
      <c r="C32" s="138">
        <v>37</v>
      </c>
      <c r="D32" s="138">
        <v>38</v>
      </c>
      <c r="E32" s="138">
        <v>39</v>
      </c>
      <c r="F32" s="138">
        <v>40</v>
      </c>
      <c r="G32" s="199">
        <v>41</v>
      </c>
      <c r="H32" s="199">
        <v>42</v>
      </c>
      <c r="I32" s="199">
        <v>43</v>
      </c>
      <c r="J32" s="199">
        <v>44</v>
      </c>
      <c r="K32" s="199">
        <v>45</v>
      </c>
      <c r="L32" s="199">
        <v>46</v>
      </c>
      <c r="M32" s="199">
        <v>47</v>
      </c>
      <c r="N32" s="199">
        <v>48</v>
      </c>
      <c r="O32" s="199">
        <v>49</v>
      </c>
      <c r="P32" s="199">
        <v>50</v>
      </c>
      <c r="Q32" s="199">
        <v>51</v>
      </c>
      <c r="R32" s="199">
        <v>52</v>
      </c>
      <c r="S32" s="199">
        <v>53</v>
      </c>
      <c r="T32" s="199">
        <v>54</v>
      </c>
      <c r="U32" s="199">
        <v>55</v>
      </c>
      <c r="V32" s="199">
        <v>56</v>
      </c>
      <c r="W32" s="199">
        <v>57</v>
      </c>
      <c r="X32" s="199">
        <v>58</v>
      </c>
      <c r="Y32" s="199">
        <v>59</v>
      </c>
      <c r="Z32" s="199">
        <v>60</v>
      </c>
      <c r="AA32" s="199">
        <v>61</v>
      </c>
    </row>
    <row r="33" spans="1:27" ht="17.25" thickBot="1" x14ac:dyDescent="0.45">
      <c r="A33" s="80" t="s">
        <v>5</v>
      </c>
      <c r="B33" s="91" t="s">
        <v>3</v>
      </c>
      <c r="C33" s="114">
        <v>1</v>
      </c>
      <c r="D33" s="114">
        <v>2</v>
      </c>
      <c r="E33" s="114">
        <v>3</v>
      </c>
      <c r="F33" s="114">
        <v>4</v>
      </c>
      <c r="G33" s="2">
        <v>5</v>
      </c>
      <c r="H33" s="2">
        <v>6</v>
      </c>
      <c r="I33" s="2">
        <v>7</v>
      </c>
      <c r="J33" s="2">
        <v>8</v>
      </c>
      <c r="K33" s="2">
        <v>9</v>
      </c>
      <c r="L33" s="2">
        <v>10</v>
      </c>
      <c r="M33" s="2">
        <v>11</v>
      </c>
      <c r="N33" s="2">
        <v>12</v>
      </c>
      <c r="O33" s="2">
        <v>13</v>
      </c>
      <c r="P33" s="2">
        <v>14</v>
      </c>
      <c r="Q33" s="2">
        <v>15</v>
      </c>
      <c r="R33" s="2">
        <v>16</v>
      </c>
      <c r="S33" s="2">
        <v>17</v>
      </c>
      <c r="T33" s="2">
        <v>18</v>
      </c>
      <c r="U33" s="2">
        <v>19</v>
      </c>
      <c r="V33" s="2">
        <v>20</v>
      </c>
      <c r="W33" s="2">
        <v>21</v>
      </c>
      <c r="X33" s="2">
        <v>22</v>
      </c>
      <c r="Y33" s="2">
        <v>23</v>
      </c>
      <c r="Z33" s="2">
        <v>24</v>
      </c>
      <c r="AA33" s="2">
        <v>25</v>
      </c>
    </row>
    <row r="34" spans="1:27" ht="17.25" thickBot="1" x14ac:dyDescent="0.45">
      <c r="A34" s="82" t="s">
        <v>120</v>
      </c>
      <c r="B34" s="91" t="s">
        <v>3</v>
      </c>
      <c r="C34" s="114">
        <v>71</v>
      </c>
      <c r="D34" s="114">
        <v>72</v>
      </c>
      <c r="E34" s="114">
        <v>73</v>
      </c>
      <c r="F34" s="114">
        <v>74</v>
      </c>
      <c r="G34" s="81">
        <v>75</v>
      </c>
      <c r="H34" s="81">
        <v>76</v>
      </c>
      <c r="I34" s="81">
        <v>77</v>
      </c>
      <c r="J34" s="81">
        <v>78</v>
      </c>
      <c r="K34" s="81">
        <v>79</v>
      </c>
      <c r="L34" s="81">
        <v>80</v>
      </c>
      <c r="M34" s="81">
        <v>81</v>
      </c>
      <c r="N34" s="81">
        <v>82</v>
      </c>
      <c r="O34" s="81">
        <v>83</v>
      </c>
      <c r="P34" s="81">
        <v>84</v>
      </c>
      <c r="Q34" s="81">
        <v>85</v>
      </c>
      <c r="R34" s="81">
        <v>86</v>
      </c>
      <c r="S34" s="81">
        <v>87</v>
      </c>
      <c r="T34" s="81">
        <v>88</v>
      </c>
      <c r="U34" s="81">
        <v>89</v>
      </c>
      <c r="V34" s="81">
        <v>90</v>
      </c>
      <c r="W34" s="81">
        <v>91</v>
      </c>
      <c r="X34" s="81">
        <v>92</v>
      </c>
      <c r="Y34" s="81">
        <v>93</v>
      </c>
      <c r="Z34" s="81">
        <v>94</v>
      </c>
      <c r="AA34" s="81">
        <v>95</v>
      </c>
    </row>
    <row r="35" spans="1:27" ht="17.25" thickBot="1" x14ac:dyDescent="0.45">
      <c r="A35" s="82" t="s">
        <v>121</v>
      </c>
      <c r="B35" s="91" t="s">
        <v>3</v>
      </c>
      <c r="C35" s="114">
        <v>68</v>
      </c>
      <c r="D35" s="114">
        <v>69</v>
      </c>
      <c r="E35" s="114">
        <v>70</v>
      </c>
      <c r="F35" s="114">
        <v>71</v>
      </c>
      <c r="G35" s="81">
        <v>72</v>
      </c>
      <c r="H35" s="81">
        <v>73</v>
      </c>
      <c r="I35" s="81">
        <v>74</v>
      </c>
      <c r="J35" s="81">
        <v>75</v>
      </c>
      <c r="K35" s="81">
        <v>76</v>
      </c>
      <c r="L35" s="81">
        <v>77</v>
      </c>
      <c r="M35" s="81">
        <v>78</v>
      </c>
      <c r="N35" s="81">
        <v>79</v>
      </c>
      <c r="O35" s="81">
        <v>80</v>
      </c>
      <c r="P35" s="81">
        <v>81</v>
      </c>
      <c r="Q35" s="81">
        <v>82</v>
      </c>
      <c r="R35" s="81">
        <v>83</v>
      </c>
      <c r="S35" s="81">
        <v>84</v>
      </c>
      <c r="T35" s="81">
        <v>85</v>
      </c>
      <c r="U35" s="81">
        <v>86</v>
      </c>
      <c r="V35" s="81">
        <v>87</v>
      </c>
      <c r="W35" s="81">
        <v>88</v>
      </c>
      <c r="X35" s="81">
        <v>89</v>
      </c>
      <c r="Y35" s="81">
        <v>90</v>
      </c>
      <c r="Z35" s="81">
        <v>91</v>
      </c>
      <c r="AA35" s="81">
        <v>92</v>
      </c>
    </row>
    <row r="36" spans="1:27" ht="17.25" thickBot="1" x14ac:dyDescent="0.45">
      <c r="A36" s="207" t="s">
        <v>122</v>
      </c>
      <c r="B36" s="208"/>
      <c r="C36" s="114" t="s">
        <v>139</v>
      </c>
      <c r="D36" s="114"/>
      <c r="E36" s="143"/>
      <c r="F36" s="143" t="s">
        <v>150</v>
      </c>
      <c r="G36" s="2" t="s">
        <v>47</v>
      </c>
      <c r="H36" s="2"/>
      <c r="I36" s="2"/>
      <c r="J36" s="2"/>
      <c r="K36" s="2"/>
      <c r="L36" s="2"/>
      <c r="M36" s="2" t="s">
        <v>123</v>
      </c>
      <c r="N36" s="2"/>
      <c r="O36" s="2"/>
      <c r="P36" s="2"/>
      <c r="Q36" s="2"/>
      <c r="R36" s="2"/>
      <c r="S36" s="2"/>
      <c r="T36" s="2"/>
      <c r="U36" s="2"/>
      <c r="V36" s="2"/>
      <c r="W36" s="83"/>
      <c r="X36" s="83"/>
      <c r="Y36" s="2"/>
      <c r="Z36" s="2"/>
      <c r="AA36" s="83" t="s">
        <v>192</v>
      </c>
    </row>
    <row r="37" spans="1:27" ht="17.25" thickBot="1" x14ac:dyDescent="0.45">
      <c r="A37" s="13" t="s">
        <v>43</v>
      </c>
      <c r="B37" s="92" t="s">
        <v>5</v>
      </c>
      <c r="C37" s="114"/>
      <c r="D37" s="114"/>
      <c r="E37" s="114"/>
      <c r="F37" s="114" t="s">
        <v>15</v>
      </c>
      <c r="G37" s="185" t="s">
        <v>15</v>
      </c>
      <c r="H37" s="185" t="s">
        <v>15</v>
      </c>
      <c r="I37" s="186" t="s">
        <v>16</v>
      </c>
      <c r="J37" s="186" t="s">
        <v>16</v>
      </c>
      <c r="K37" s="186" t="s">
        <v>16</v>
      </c>
      <c r="L37" s="186" t="s">
        <v>16</v>
      </c>
      <c r="M37" s="186" t="s">
        <v>16</v>
      </c>
      <c r="N37" s="186" t="s">
        <v>16</v>
      </c>
      <c r="O37" s="187" t="s">
        <v>17</v>
      </c>
      <c r="P37" s="187" t="s">
        <v>17</v>
      </c>
      <c r="Q37" s="187" t="s">
        <v>17</v>
      </c>
      <c r="R37" s="188" t="s">
        <v>18</v>
      </c>
      <c r="S37" s="188" t="s">
        <v>18</v>
      </c>
      <c r="T37" s="188" t="s">
        <v>18</v>
      </c>
      <c r="U37" s="189" t="s">
        <v>19</v>
      </c>
      <c r="V37" s="189" t="s">
        <v>19</v>
      </c>
      <c r="W37" s="189" t="s">
        <v>19</v>
      </c>
      <c r="X37" s="189" t="s">
        <v>19</v>
      </c>
      <c r="Y37" s="2"/>
      <c r="Z37" s="2"/>
      <c r="AA37" s="2"/>
    </row>
    <row r="38" spans="1:27" ht="17.25" thickBot="1" x14ac:dyDescent="0.45">
      <c r="A38" s="14"/>
      <c r="B38" s="92"/>
      <c r="C38" s="114"/>
      <c r="D38" s="114"/>
      <c r="E38" s="114"/>
      <c r="F38" s="114" t="s">
        <v>127</v>
      </c>
      <c r="G38" s="185" t="s">
        <v>127</v>
      </c>
      <c r="H38" s="185" t="s">
        <v>127</v>
      </c>
      <c r="I38" s="186" t="s">
        <v>128</v>
      </c>
      <c r="J38" s="186" t="s">
        <v>128</v>
      </c>
      <c r="K38" s="186" t="s">
        <v>128</v>
      </c>
      <c r="L38" s="186" t="s">
        <v>128</v>
      </c>
      <c r="M38" s="186" t="s">
        <v>128</v>
      </c>
      <c r="N38" s="186" t="s">
        <v>128</v>
      </c>
      <c r="O38" s="187" t="s">
        <v>127</v>
      </c>
      <c r="P38" s="187" t="s">
        <v>127</v>
      </c>
      <c r="Q38" s="187" t="s">
        <v>127</v>
      </c>
      <c r="R38" s="188" t="s">
        <v>127</v>
      </c>
      <c r="S38" s="188" t="s">
        <v>127</v>
      </c>
      <c r="T38" s="188" t="s">
        <v>127</v>
      </c>
      <c r="U38" s="189" t="s">
        <v>129</v>
      </c>
      <c r="V38" s="189" t="s">
        <v>129</v>
      </c>
      <c r="W38" s="189" t="s">
        <v>129</v>
      </c>
      <c r="X38" s="189" t="s">
        <v>129</v>
      </c>
      <c r="Y38" s="2"/>
      <c r="Z38" s="2"/>
      <c r="AA38" s="2"/>
    </row>
    <row r="39" spans="1:27" ht="17.25" thickBot="1" x14ac:dyDescent="0.45">
      <c r="A39" s="201" t="s">
        <v>30</v>
      </c>
      <c r="B39" s="93" t="s">
        <v>111</v>
      </c>
      <c r="C39" s="115">
        <v>706.71839999999997</v>
      </c>
      <c r="D39" s="115">
        <v>785.15329999999994</v>
      </c>
      <c r="E39" s="115">
        <v>853.77570000000003</v>
      </c>
      <c r="F39" s="139">
        <v>889.35580000000004</v>
      </c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</row>
    <row r="40" spans="1:27" ht="17.25" thickBot="1" x14ac:dyDescent="0.45">
      <c r="A40" s="202"/>
      <c r="B40" s="91" t="s">
        <v>31</v>
      </c>
      <c r="C40" s="115">
        <v>10.0435</v>
      </c>
      <c r="D40" s="115">
        <v>30.197000000000003</v>
      </c>
      <c r="E40" s="116">
        <v>47.313400000000001</v>
      </c>
      <c r="F40" s="137">
        <v>64</v>
      </c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</row>
    <row r="41" spans="1:27" ht="17.25" thickBot="1" x14ac:dyDescent="0.45">
      <c r="A41" s="202"/>
      <c r="B41" s="91" t="s">
        <v>45</v>
      </c>
      <c r="C41" s="116">
        <v>0</v>
      </c>
      <c r="D41" s="116">
        <v>0</v>
      </c>
      <c r="E41" s="116">
        <v>0</v>
      </c>
      <c r="F41" s="137">
        <v>0</v>
      </c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</row>
    <row r="42" spans="1:27" ht="17.25" thickBot="1" x14ac:dyDescent="0.45">
      <c r="A42" s="202"/>
      <c r="B42" s="91" t="s">
        <v>6</v>
      </c>
      <c r="C42" s="115">
        <v>58.297400000000003</v>
      </c>
      <c r="D42" s="115">
        <v>51.602200000000003</v>
      </c>
      <c r="E42" s="116">
        <v>51.990099999999998</v>
      </c>
      <c r="F42" s="137">
        <v>62.197600000000001</v>
      </c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</row>
    <row r="43" spans="1:27" ht="17.25" thickBot="1" x14ac:dyDescent="0.45">
      <c r="A43" s="203"/>
      <c r="B43" s="91" t="s">
        <v>7</v>
      </c>
      <c r="C43" s="116">
        <v>775.05930000000001</v>
      </c>
      <c r="D43" s="116">
        <v>866.95249999999999</v>
      </c>
      <c r="E43" s="116">
        <v>953.07920000000001</v>
      </c>
      <c r="F43" s="137">
        <v>1014.9058</v>
      </c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</row>
    <row r="44" spans="1:27" ht="17.25" thickBot="1" x14ac:dyDescent="0.45">
      <c r="A44" s="204" t="s">
        <v>35</v>
      </c>
      <c r="B44" s="95" t="s">
        <v>8</v>
      </c>
      <c r="C44" s="116">
        <v>218.39585454545454</v>
      </c>
      <c r="D44" s="116">
        <v>227.4143</v>
      </c>
      <c r="E44" s="116">
        <v>237.90187999999998</v>
      </c>
      <c r="F44" s="137">
        <v>235.8366</v>
      </c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</row>
    <row r="45" spans="1:27" ht="17.25" thickBot="1" x14ac:dyDescent="0.45">
      <c r="A45" s="205"/>
      <c r="B45" s="95" t="s">
        <v>43</v>
      </c>
      <c r="C45" s="116">
        <v>0</v>
      </c>
      <c r="D45" s="116">
        <v>0</v>
      </c>
      <c r="E45" s="116">
        <v>10.385</v>
      </c>
      <c r="F45" s="137">
        <v>16.2408</v>
      </c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</row>
    <row r="46" spans="1:27" ht="17.25" thickBot="1" x14ac:dyDescent="0.45">
      <c r="A46" s="205"/>
      <c r="B46" s="96" t="s">
        <v>125</v>
      </c>
      <c r="C46" s="116">
        <v>10.734</v>
      </c>
      <c r="D46" s="116">
        <v>8.8910999999999998</v>
      </c>
      <c r="E46" s="116">
        <v>24.273399999999999</v>
      </c>
      <c r="F46" s="137">
        <v>14.6721</v>
      </c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</row>
    <row r="47" spans="1:27" ht="17.25" thickBot="1" x14ac:dyDescent="0.45">
      <c r="A47" s="205"/>
      <c r="B47" s="95" t="s">
        <v>9</v>
      </c>
      <c r="C47" s="116">
        <v>78.924000000000007</v>
      </c>
      <c r="D47" s="116">
        <v>78.924000000000007</v>
      </c>
      <c r="E47" s="116">
        <v>78.924000000000007</v>
      </c>
      <c r="F47" s="137">
        <v>78.924000000000007</v>
      </c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17.25" thickBot="1" x14ac:dyDescent="0.45">
      <c r="A48" s="205"/>
      <c r="B48" s="95" t="s">
        <v>11</v>
      </c>
      <c r="C48" s="116">
        <v>25.828900000000001</v>
      </c>
      <c r="D48" s="116">
        <v>26.044899999999998</v>
      </c>
      <c r="E48" s="116">
        <v>31.206900000000001</v>
      </c>
      <c r="F48" s="137">
        <v>33.3459</v>
      </c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17.25" thickBot="1" x14ac:dyDescent="0.45">
      <c r="A49" s="205"/>
      <c r="B49" s="95" t="s">
        <v>12</v>
      </c>
      <c r="C49" s="116">
        <v>0</v>
      </c>
      <c r="D49" s="116">
        <v>0</v>
      </c>
      <c r="E49" s="116">
        <v>0</v>
      </c>
      <c r="F49" s="137">
        <v>0</v>
      </c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ht="17.25" thickBot="1" x14ac:dyDescent="0.45">
      <c r="A50" s="205"/>
      <c r="B50" s="95" t="s">
        <v>41</v>
      </c>
      <c r="C50" s="116">
        <v>30.796200000000002</v>
      </c>
      <c r="D50" s="116">
        <v>37</v>
      </c>
      <c r="E50" s="116">
        <v>38.297199999999997</v>
      </c>
      <c r="F50" s="137">
        <v>42.388800000000003</v>
      </c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ht="17.25" thickBot="1" x14ac:dyDescent="0.45">
      <c r="A51" s="205"/>
      <c r="B51" s="95" t="s">
        <v>10</v>
      </c>
      <c r="C51" s="116">
        <v>42.836300000000001</v>
      </c>
      <c r="D51" s="116">
        <v>63.938699999999997</v>
      </c>
      <c r="E51" s="116">
        <v>44.940165</v>
      </c>
      <c r="F51" s="137">
        <v>67.313500000000005</v>
      </c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17.25" thickBot="1" x14ac:dyDescent="0.45">
      <c r="A52" s="206"/>
      <c r="B52" s="99" t="s">
        <v>13</v>
      </c>
      <c r="C52" s="116">
        <v>407.51525454545452</v>
      </c>
      <c r="D52" s="116">
        <v>442</v>
      </c>
      <c r="E52" s="116">
        <v>465.92854500000004</v>
      </c>
      <c r="F52" s="137">
        <v>488.7217</v>
      </c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1:27" ht="17.25" thickBot="1" x14ac:dyDescent="0.45">
      <c r="A53" s="16" t="s">
        <v>14</v>
      </c>
      <c r="B53" s="97"/>
      <c r="C53" s="116">
        <v>367.54404545454548</v>
      </c>
      <c r="D53" s="116">
        <v>425</v>
      </c>
      <c r="E53" s="116">
        <v>487.15065499999997</v>
      </c>
      <c r="F53" s="137">
        <f>F43-F52</f>
        <v>526.18409999999994</v>
      </c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ht="17.25" thickBot="1" x14ac:dyDescent="0.45">
      <c r="A54" s="16" t="s">
        <v>147</v>
      </c>
      <c r="B54" s="97">
        <v>2197</v>
      </c>
      <c r="C54" s="116">
        <v>2467</v>
      </c>
      <c r="D54" s="116">
        <v>2894</v>
      </c>
      <c r="E54" s="116">
        <v>3884</v>
      </c>
      <c r="F54" s="137">
        <v>5270</v>
      </c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</row>
    <row r="55" spans="1:27" x14ac:dyDescent="0.4">
      <c r="C55" s="89"/>
      <c r="D55" s="89"/>
      <c r="E55" s="89"/>
      <c r="F55" s="89"/>
    </row>
    <row r="56" spans="1:27" x14ac:dyDescent="0.4">
      <c r="C56" s="89"/>
      <c r="D56" s="89"/>
      <c r="E56" s="89"/>
      <c r="F56" s="89"/>
    </row>
    <row r="57" spans="1:27" x14ac:dyDescent="0.4">
      <c r="C57" s="149"/>
      <c r="D57" s="149"/>
      <c r="E57" s="149"/>
      <c r="F57" s="149"/>
    </row>
    <row r="59" spans="1:27" x14ac:dyDescent="0.4">
      <c r="C59" s="89"/>
      <c r="D59" s="89"/>
      <c r="E59" s="89"/>
      <c r="F59" s="89"/>
    </row>
    <row r="60" spans="1:27" x14ac:dyDescent="0.4">
      <c r="C60" s="149"/>
      <c r="D60" s="149"/>
      <c r="E60" s="149"/>
      <c r="F60" s="149"/>
    </row>
  </sheetData>
  <mergeCells count="6">
    <mergeCell ref="A39:A43"/>
    <mergeCell ref="A44:A52"/>
    <mergeCell ref="A8:B8"/>
    <mergeCell ref="A11:A15"/>
    <mergeCell ref="A16:A25"/>
    <mergeCell ref="A36:B36"/>
  </mergeCells>
  <phoneticPr fontId="1"/>
  <pageMargins left="0.7" right="0.7" top="0.75" bottom="0.75" header="0.3" footer="0.3"/>
  <pageSetup paperSize="9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3BFB-EF63-48BE-BF6C-FACE6655F1EF}">
  <sheetPr codeName="Sheet25"/>
  <dimension ref="A1:H76"/>
  <sheetViews>
    <sheetView workbookViewId="0">
      <pane ySplit="2" topLeftCell="A3" activePane="bottomLeft" state="frozen"/>
      <selection activeCell="E30" sqref="E30"/>
      <selection pane="bottomLeft" activeCell="E71" sqref="E71"/>
    </sheetView>
  </sheetViews>
  <sheetFormatPr defaultRowHeight="18.75" x14ac:dyDescent="0.4"/>
  <cols>
    <col min="2" max="2" width="4.875" bestFit="1" customWidth="1"/>
    <col min="3" max="3" width="9" style="27"/>
    <col min="4" max="4" width="18.25" bestFit="1" customWidth="1"/>
    <col min="5" max="5" width="35.875" style="19" bestFit="1" customWidth="1"/>
    <col min="8" max="8" width="9" style="27"/>
  </cols>
  <sheetData>
    <row r="1" spans="1:8" x14ac:dyDescent="0.4">
      <c r="C1" s="27">
        <f>SUM(C3:C155)</f>
        <v>365027</v>
      </c>
      <c r="H1" s="27">
        <f>SUM(H3:H153)</f>
        <v>365027</v>
      </c>
    </row>
    <row r="2" spans="1:8" x14ac:dyDescent="0.4">
      <c r="A2" s="20" t="s">
        <v>50</v>
      </c>
      <c r="B2" s="20" t="s">
        <v>55</v>
      </c>
      <c r="C2" s="28" t="s">
        <v>52</v>
      </c>
      <c r="D2" s="20" t="s">
        <v>51</v>
      </c>
      <c r="E2" s="21" t="s">
        <v>53</v>
      </c>
      <c r="G2" s="20" t="s">
        <v>50</v>
      </c>
      <c r="H2" s="28" t="s">
        <v>52</v>
      </c>
    </row>
    <row r="3" spans="1:8" x14ac:dyDescent="0.4">
      <c r="A3" s="18">
        <v>45839</v>
      </c>
      <c r="B3" s="18" t="s">
        <v>273</v>
      </c>
      <c r="C3" s="27">
        <v>100000</v>
      </c>
      <c r="D3" t="s">
        <v>97</v>
      </c>
      <c r="E3" s="19" t="s">
        <v>90</v>
      </c>
      <c r="G3" s="18">
        <v>45839</v>
      </c>
      <c r="H3" s="27">
        <f t="shared" ref="H3:H33" si="0">SUMIF($A$3:$A$203,$G3,$C$3:$C$203)</f>
        <v>268851</v>
      </c>
    </row>
    <row r="4" spans="1:8" x14ac:dyDescent="0.4">
      <c r="A4" s="18">
        <v>45839</v>
      </c>
      <c r="B4" s="18" t="s">
        <v>273</v>
      </c>
      <c r="C4" s="27">
        <v>150000</v>
      </c>
      <c r="D4" t="s">
        <v>42</v>
      </c>
      <c r="E4" t="s">
        <v>42</v>
      </c>
      <c r="G4" s="18">
        <v>45840</v>
      </c>
      <c r="H4" s="27">
        <f t="shared" si="0"/>
        <v>180</v>
      </c>
    </row>
    <row r="5" spans="1:8" x14ac:dyDescent="0.4">
      <c r="A5" s="18">
        <v>45839</v>
      </c>
      <c r="B5" s="18" t="s">
        <v>66</v>
      </c>
      <c r="C5" s="27">
        <f>4277+1018</f>
        <v>5295</v>
      </c>
      <c r="D5" t="s">
        <v>58</v>
      </c>
      <c r="E5" s="19" t="s">
        <v>299</v>
      </c>
      <c r="G5" s="18">
        <v>45841</v>
      </c>
      <c r="H5" s="27">
        <f t="shared" si="0"/>
        <v>1671</v>
      </c>
    </row>
    <row r="6" spans="1:8" x14ac:dyDescent="0.4">
      <c r="A6" s="18">
        <v>45839</v>
      </c>
      <c r="B6" s="18" t="s">
        <v>66</v>
      </c>
      <c r="C6" s="27">
        <v>3110</v>
      </c>
      <c r="D6" t="s">
        <v>25</v>
      </c>
      <c r="E6" s="19" t="s">
        <v>302</v>
      </c>
      <c r="G6" s="18">
        <v>45842</v>
      </c>
      <c r="H6" s="27">
        <f t="shared" si="0"/>
        <v>6571</v>
      </c>
    </row>
    <row r="7" spans="1:8" x14ac:dyDescent="0.4">
      <c r="A7" s="18">
        <v>45839</v>
      </c>
      <c r="B7" s="18" t="s">
        <v>66</v>
      </c>
      <c r="C7" s="27">
        <v>3610</v>
      </c>
      <c r="D7" t="s">
        <v>25</v>
      </c>
      <c r="E7" s="19" t="s">
        <v>297</v>
      </c>
      <c r="G7" s="18">
        <v>45843</v>
      </c>
      <c r="H7" s="27">
        <f t="shared" si="0"/>
        <v>8488</v>
      </c>
    </row>
    <row r="8" spans="1:8" x14ac:dyDescent="0.4">
      <c r="A8" s="18">
        <v>45839</v>
      </c>
      <c r="B8" s="18" t="s">
        <v>66</v>
      </c>
      <c r="C8" s="27">
        <v>360</v>
      </c>
      <c r="D8" t="s">
        <v>25</v>
      </c>
      <c r="E8" s="19" t="s">
        <v>298</v>
      </c>
      <c r="G8" s="18">
        <v>45844</v>
      </c>
      <c r="H8" s="27">
        <f t="shared" si="0"/>
        <v>3948</v>
      </c>
    </row>
    <row r="9" spans="1:8" x14ac:dyDescent="0.4">
      <c r="A9" s="18">
        <v>45839</v>
      </c>
      <c r="B9" s="18" t="s">
        <v>66</v>
      </c>
      <c r="C9" s="27">
        <f>1800+3470</f>
        <v>5270</v>
      </c>
      <c r="D9" t="s">
        <v>25</v>
      </c>
      <c r="E9" s="19" t="s">
        <v>301</v>
      </c>
      <c r="G9" s="18">
        <v>45845</v>
      </c>
      <c r="H9" s="27">
        <f t="shared" si="0"/>
        <v>1431</v>
      </c>
    </row>
    <row r="10" spans="1:8" x14ac:dyDescent="0.4">
      <c r="A10" s="18">
        <v>45839</v>
      </c>
      <c r="B10" s="18" t="s">
        <v>66</v>
      </c>
      <c r="C10" s="27">
        <f>806+260+70+70</f>
        <v>1206</v>
      </c>
      <c r="D10" t="s">
        <v>114</v>
      </c>
      <c r="E10" s="19" t="s">
        <v>358</v>
      </c>
      <c r="G10" s="18">
        <v>45846</v>
      </c>
      <c r="H10" s="27">
        <f t="shared" si="0"/>
        <v>0</v>
      </c>
    </row>
    <row r="11" spans="1:8" x14ac:dyDescent="0.4">
      <c r="A11" s="18">
        <v>45840</v>
      </c>
      <c r="B11" s="18" t="s">
        <v>67</v>
      </c>
      <c r="C11" s="27">
        <v>180</v>
      </c>
      <c r="D11" t="s">
        <v>114</v>
      </c>
      <c r="E11" s="19" t="s">
        <v>274</v>
      </c>
      <c r="G11" s="18">
        <v>45847</v>
      </c>
      <c r="H11" s="27">
        <f t="shared" si="0"/>
        <v>0</v>
      </c>
    </row>
    <row r="12" spans="1:8" x14ac:dyDescent="0.4">
      <c r="A12" s="18">
        <v>45841</v>
      </c>
      <c r="B12" s="18" t="s">
        <v>69</v>
      </c>
      <c r="C12" s="27">
        <f>1471+100+100</f>
        <v>1671</v>
      </c>
      <c r="D12" t="s">
        <v>114</v>
      </c>
      <c r="E12" s="19" t="s">
        <v>309</v>
      </c>
      <c r="G12" s="18">
        <v>45848</v>
      </c>
      <c r="H12" s="27">
        <f t="shared" si="0"/>
        <v>1531</v>
      </c>
    </row>
    <row r="13" spans="1:8" x14ac:dyDescent="0.4">
      <c r="A13" s="18">
        <v>45842</v>
      </c>
      <c r="B13" s="18" t="s">
        <v>71</v>
      </c>
      <c r="C13" s="27">
        <v>6571</v>
      </c>
      <c r="D13" t="s">
        <v>21</v>
      </c>
      <c r="E13" s="19" t="s">
        <v>347</v>
      </c>
      <c r="G13" s="18">
        <v>45849</v>
      </c>
      <c r="H13" s="27">
        <f t="shared" si="0"/>
        <v>9224</v>
      </c>
    </row>
    <row r="14" spans="1:8" x14ac:dyDescent="0.4">
      <c r="A14" s="18">
        <v>45843</v>
      </c>
      <c r="B14" s="18" t="s">
        <v>72</v>
      </c>
      <c r="C14" s="27">
        <v>980</v>
      </c>
      <c r="D14" t="s">
        <v>58</v>
      </c>
      <c r="E14" s="19" t="s">
        <v>143</v>
      </c>
      <c r="G14" s="18">
        <v>45850</v>
      </c>
      <c r="H14" s="27">
        <f t="shared" si="0"/>
        <v>7828</v>
      </c>
    </row>
    <row r="15" spans="1:8" x14ac:dyDescent="0.4">
      <c r="A15" s="18">
        <v>45843</v>
      </c>
      <c r="B15" s="18" t="s">
        <v>72</v>
      </c>
      <c r="C15" s="27">
        <v>1628</v>
      </c>
      <c r="D15" t="s">
        <v>58</v>
      </c>
      <c r="E15" s="147" t="s">
        <v>312</v>
      </c>
      <c r="G15" s="18">
        <v>45851</v>
      </c>
      <c r="H15" s="27">
        <f t="shared" si="0"/>
        <v>3281</v>
      </c>
    </row>
    <row r="16" spans="1:8" x14ac:dyDescent="0.4">
      <c r="A16" s="18">
        <v>45843</v>
      </c>
      <c r="B16" s="18" t="s">
        <v>72</v>
      </c>
      <c r="C16" s="27">
        <v>1870</v>
      </c>
      <c r="D16" t="s">
        <v>58</v>
      </c>
      <c r="E16" s="19" t="s">
        <v>312</v>
      </c>
      <c r="G16" s="18">
        <v>45852</v>
      </c>
      <c r="H16" s="27">
        <f t="shared" si="0"/>
        <v>0</v>
      </c>
    </row>
    <row r="17" spans="1:8" x14ac:dyDescent="0.4">
      <c r="A17" s="18">
        <v>45843</v>
      </c>
      <c r="B17" s="18" t="s">
        <v>72</v>
      </c>
      <c r="C17" s="27">
        <f>960+1390</f>
        <v>2350</v>
      </c>
      <c r="D17" t="s">
        <v>114</v>
      </c>
      <c r="E17" s="19" t="s">
        <v>320</v>
      </c>
      <c r="G17" s="18">
        <v>45853</v>
      </c>
      <c r="H17" s="27">
        <f t="shared" si="0"/>
        <v>2056</v>
      </c>
    </row>
    <row r="18" spans="1:8" x14ac:dyDescent="0.4">
      <c r="A18" s="18">
        <v>45843</v>
      </c>
      <c r="B18" s="18" t="s">
        <v>72</v>
      </c>
      <c r="C18" s="27">
        <v>1660</v>
      </c>
      <c r="D18" t="s">
        <v>114</v>
      </c>
      <c r="E18" s="19" t="s">
        <v>340</v>
      </c>
      <c r="G18" s="18">
        <v>45854</v>
      </c>
      <c r="H18" s="27">
        <f t="shared" si="0"/>
        <v>0</v>
      </c>
    </row>
    <row r="19" spans="1:8" x14ac:dyDescent="0.4">
      <c r="A19" s="18">
        <v>45844</v>
      </c>
      <c r="B19" s="18" t="s">
        <v>73</v>
      </c>
      <c r="C19" s="27">
        <v>1369</v>
      </c>
      <c r="D19" t="s">
        <v>114</v>
      </c>
      <c r="E19" s="19" t="s">
        <v>307</v>
      </c>
      <c r="G19" s="18">
        <v>45855</v>
      </c>
      <c r="H19" s="27">
        <f t="shared" si="0"/>
        <v>1431</v>
      </c>
    </row>
    <row r="20" spans="1:8" x14ac:dyDescent="0.4">
      <c r="A20" s="18">
        <v>45844</v>
      </c>
      <c r="B20" s="18" t="s">
        <v>73</v>
      </c>
      <c r="C20" s="27">
        <v>324</v>
      </c>
      <c r="D20" t="s">
        <v>114</v>
      </c>
      <c r="E20" s="19" t="s">
        <v>343</v>
      </c>
      <c r="G20" s="18">
        <v>45856</v>
      </c>
      <c r="H20" s="27">
        <f t="shared" si="0"/>
        <v>0</v>
      </c>
    </row>
    <row r="21" spans="1:8" x14ac:dyDescent="0.4">
      <c r="A21" s="18">
        <v>45844</v>
      </c>
      <c r="B21" s="18" t="s">
        <v>73</v>
      </c>
      <c r="C21" s="27">
        <v>330</v>
      </c>
      <c r="D21" t="s">
        <v>252</v>
      </c>
      <c r="E21" s="19" t="s">
        <v>343</v>
      </c>
      <c r="G21" s="18">
        <v>45857</v>
      </c>
      <c r="H21" s="27">
        <f t="shared" si="0"/>
        <v>8658</v>
      </c>
    </row>
    <row r="22" spans="1:8" x14ac:dyDescent="0.4">
      <c r="A22" s="18">
        <v>45844</v>
      </c>
      <c r="B22" s="18" t="s">
        <v>73</v>
      </c>
      <c r="C22" s="27">
        <f>2579-324-330</f>
        <v>1925</v>
      </c>
      <c r="D22" t="s">
        <v>57</v>
      </c>
      <c r="E22" s="19" t="s">
        <v>343</v>
      </c>
      <c r="G22" s="18">
        <v>45858</v>
      </c>
      <c r="H22" s="27">
        <f t="shared" si="0"/>
        <v>0</v>
      </c>
    </row>
    <row r="23" spans="1:8" x14ac:dyDescent="0.4">
      <c r="A23" s="18">
        <v>45845</v>
      </c>
      <c r="B23" s="18" t="s">
        <v>56</v>
      </c>
      <c r="C23" s="27">
        <v>1431</v>
      </c>
      <c r="D23" t="s">
        <v>114</v>
      </c>
      <c r="E23" s="19" t="s">
        <v>309</v>
      </c>
      <c r="G23" s="18">
        <v>45859</v>
      </c>
      <c r="H23" s="27">
        <f t="shared" si="0"/>
        <v>9219</v>
      </c>
    </row>
    <row r="24" spans="1:8" x14ac:dyDescent="0.4">
      <c r="A24" s="18">
        <v>45848</v>
      </c>
      <c r="B24" s="18" t="s">
        <v>69</v>
      </c>
      <c r="C24" s="27">
        <v>1531</v>
      </c>
      <c r="D24" t="s">
        <v>114</v>
      </c>
      <c r="E24" s="19" t="s">
        <v>309</v>
      </c>
      <c r="G24" s="18">
        <v>45860</v>
      </c>
      <c r="H24" s="27">
        <f t="shared" si="0"/>
        <v>5643</v>
      </c>
    </row>
    <row r="25" spans="1:8" x14ac:dyDescent="0.4">
      <c r="A25" s="18">
        <v>45849</v>
      </c>
      <c r="B25" s="18" t="s">
        <v>71</v>
      </c>
      <c r="C25" s="27">
        <f>991*2</f>
        <v>1982</v>
      </c>
      <c r="D25" t="s">
        <v>57</v>
      </c>
      <c r="E25" s="19" t="s">
        <v>383</v>
      </c>
      <c r="G25" s="18">
        <v>45861</v>
      </c>
      <c r="H25" s="27">
        <f t="shared" si="0"/>
        <v>0</v>
      </c>
    </row>
    <row r="26" spans="1:8" x14ac:dyDescent="0.4">
      <c r="A26" s="18">
        <v>45849</v>
      </c>
      <c r="B26" s="18" t="s">
        <v>71</v>
      </c>
      <c r="C26" s="27">
        <v>1650</v>
      </c>
      <c r="D26" t="s">
        <v>114</v>
      </c>
      <c r="E26" s="19" t="s">
        <v>384</v>
      </c>
      <c r="G26" s="18">
        <v>45862</v>
      </c>
      <c r="H26" s="27">
        <f t="shared" si="0"/>
        <v>1485</v>
      </c>
    </row>
    <row r="27" spans="1:8" x14ac:dyDescent="0.4">
      <c r="A27" s="18">
        <v>45849</v>
      </c>
      <c r="B27" s="18" t="s">
        <v>71</v>
      </c>
      <c r="C27" s="27">
        <v>1760</v>
      </c>
      <c r="D27" t="s">
        <v>58</v>
      </c>
      <c r="E27" s="19" t="s">
        <v>312</v>
      </c>
      <c r="G27" s="18">
        <v>45863</v>
      </c>
      <c r="H27" s="27">
        <f t="shared" si="0"/>
        <v>1431</v>
      </c>
    </row>
    <row r="28" spans="1:8" x14ac:dyDescent="0.4">
      <c r="A28" s="18">
        <v>45849</v>
      </c>
      <c r="B28" s="18" t="s">
        <v>71</v>
      </c>
      <c r="C28" s="27">
        <v>1191</v>
      </c>
      <c r="D28" t="s">
        <v>57</v>
      </c>
      <c r="E28" s="19" t="s">
        <v>336</v>
      </c>
      <c r="G28" s="18">
        <v>45864</v>
      </c>
      <c r="H28" s="27">
        <f t="shared" si="0"/>
        <v>13323</v>
      </c>
    </row>
    <row r="29" spans="1:8" x14ac:dyDescent="0.4">
      <c r="A29" s="18">
        <v>45849</v>
      </c>
      <c r="B29" s="18" t="s">
        <v>71</v>
      </c>
      <c r="C29" s="27">
        <v>1387</v>
      </c>
      <c r="D29" t="s">
        <v>57</v>
      </c>
      <c r="E29" s="19" t="s">
        <v>385</v>
      </c>
      <c r="G29" s="18">
        <v>45865</v>
      </c>
      <c r="H29" s="27">
        <f t="shared" si="0"/>
        <v>1369</v>
      </c>
    </row>
    <row r="30" spans="1:8" x14ac:dyDescent="0.4">
      <c r="A30" s="18">
        <v>45849</v>
      </c>
      <c r="B30" s="18" t="s">
        <v>71</v>
      </c>
      <c r="C30" s="27">
        <v>1254</v>
      </c>
      <c r="D30" t="s">
        <v>57</v>
      </c>
      <c r="E30" s="19" t="s">
        <v>356</v>
      </c>
      <c r="G30" s="18">
        <v>45866</v>
      </c>
      <c r="H30" s="27">
        <f t="shared" si="0"/>
        <v>3750</v>
      </c>
    </row>
    <row r="31" spans="1:8" x14ac:dyDescent="0.4">
      <c r="A31" s="18">
        <v>45850</v>
      </c>
      <c r="B31" s="18" t="s">
        <v>72</v>
      </c>
      <c r="C31" s="27">
        <v>2082</v>
      </c>
      <c r="D31" t="s">
        <v>57</v>
      </c>
      <c r="E31" s="19" t="s">
        <v>386</v>
      </c>
      <c r="G31" s="18">
        <v>45867</v>
      </c>
      <c r="H31" s="27">
        <f t="shared" si="0"/>
        <v>1619</v>
      </c>
    </row>
    <row r="32" spans="1:8" x14ac:dyDescent="0.4">
      <c r="A32" s="18">
        <v>45850</v>
      </c>
      <c r="B32" s="18" t="s">
        <v>72</v>
      </c>
      <c r="C32" s="27">
        <f>932-140</f>
        <v>792</v>
      </c>
      <c r="D32" t="s">
        <v>252</v>
      </c>
      <c r="E32" s="19" t="s">
        <v>307</v>
      </c>
      <c r="G32" s="18">
        <v>45868</v>
      </c>
      <c r="H32" s="27">
        <f t="shared" si="0"/>
        <v>0</v>
      </c>
    </row>
    <row r="33" spans="1:8" x14ac:dyDescent="0.4">
      <c r="A33" s="18">
        <v>45850</v>
      </c>
      <c r="B33" s="18" t="s">
        <v>72</v>
      </c>
      <c r="C33" s="27">
        <f>1924-792</f>
        <v>1132</v>
      </c>
      <c r="D33" t="s">
        <v>114</v>
      </c>
      <c r="E33" s="19" t="s">
        <v>307</v>
      </c>
      <c r="G33" s="18">
        <v>45869</v>
      </c>
      <c r="H33" s="27">
        <f t="shared" si="0"/>
        <v>2039</v>
      </c>
    </row>
    <row r="34" spans="1:8" x14ac:dyDescent="0.4">
      <c r="A34" s="18">
        <v>45850</v>
      </c>
      <c r="B34" s="18" t="s">
        <v>72</v>
      </c>
      <c r="C34" s="27">
        <v>3822</v>
      </c>
      <c r="D34" t="s">
        <v>114</v>
      </c>
      <c r="E34" s="19" t="s">
        <v>320</v>
      </c>
      <c r="G34" s="18"/>
    </row>
    <row r="35" spans="1:8" x14ac:dyDescent="0.4">
      <c r="A35" s="18">
        <v>45851</v>
      </c>
      <c r="B35" s="18" t="s">
        <v>73</v>
      </c>
      <c r="C35" s="27">
        <v>3281</v>
      </c>
      <c r="D35" t="s">
        <v>21</v>
      </c>
      <c r="E35" s="19" t="s">
        <v>349</v>
      </c>
      <c r="G35" s="18"/>
    </row>
    <row r="36" spans="1:8" x14ac:dyDescent="0.4">
      <c r="A36" s="18">
        <v>45853</v>
      </c>
      <c r="B36" s="18" t="s">
        <v>66</v>
      </c>
      <c r="C36" s="27">
        <f>70+806+260+100</f>
        <v>1236</v>
      </c>
      <c r="D36" t="s">
        <v>114</v>
      </c>
      <c r="E36" s="19" t="s">
        <v>358</v>
      </c>
      <c r="G36" s="18"/>
    </row>
    <row r="37" spans="1:8" x14ac:dyDescent="0.4">
      <c r="A37" s="18">
        <v>45853</v>
      </c>
      <c r="B37" s="18" t="s">
        <v>66</v>
      </c>
      <c r="C37" s="27">
        <v>820</v>
      </c>
      <c r="D37" t="s">
        <v>114</v>
      </c>
      <c r="E37" s="19" t="s">
        <v>368</v>
      </c>
      <c r="G37" s="18"/>
    </row>
    <row r="38" spans="1:8" x14ac:dyDescent="0.4">
      <c r="A38" s="18">
        <v>45855</v>
      </c>
      <c r="B38" s="18" t="s">
        <v>69</v>
      </c>
      <c r="C38" s="27">
        <v>1431</v>
      </c>
      <c r="D38" t="s">
        <v>114</v>
      </c>
      <c r="E38" s="19" t="s">
        <v>309</v>
      </c>
      <c r="G38" s="18"/>
    </row>
    <row r="39" spans="1:8" x14ac:dyDescent="0.4">
      <c r="A39" s="18">
        <v>45857</v>
      </c>
      <c r="B39" s="18" t="s">
        <v>72</v>
      </c>
      <c r="C39" s="27">
        <v>100</v>
      </c>
      <c r="D39" t="s">
        <v>286</v>
      </c>
      <c r="E39" s="19" t="s">
        <v>287</v>
      </c>
      <c r="G39" s="18"/>
    </row>
    <row r="40" spans="1:8" x14ac:dyDescent="0.4">
      <c r="A40" s="18">
        <v>45857</v>
      </c>
      <c r="B40" s="18" t="s">
        <v>72</v>
      </c>
      <c r="C40" s="27">
        <f>324*2</f>
        <v>648</v>
      </c>
      <c r="D40" t="s">
        <v>286</v>
      </c>
      <c r="E40" s="19" t="s">
        <v>306</v>
      </c>
      <c r="G40" s="18"/>
    </row>
    <row r="41" spans="1:8" x14ac:dyDescent="0.4">
      <c r="A41" s="18">
        <v>45857</v>
      </c>
      <c r="B41" s="18" t="s">
        <v>72</v>
      </c>
      <c r="C41" s="27">
        <v>5170</v>
      </c>
      <c r="D41" t="s">
        <v>114</v>
      </c>
      <c r="E41" s="19" t="s">
        <v>320</v>
      </c>
      <c r="G41" s="18"/>
    </row>
    <row r="42" spans="1:8" x14ac:dyDescent="0.4">
      <c r="A42" s="18">
        <v>45857</v>
      </c>
      <c r="B42" s="18" t="s">
        <v>72</v>
      </c>
      <c r="C42" s="27">
        <v>1440</v>
      </c>
      <c r="D42" t="s">
        <v>114</v>
      </c>
      <c r="E42" s="19" t="s">
        <v>387</v>
      </c>
      <c r="G42" s="18"/>
    </row>
    <row r="43" spans="1:8" x14ac:dyDescent="0.4">
      <c r="A43" s="18">
        <v>45857</v>
      </c>
      <c r="B43" s="18" t="s">
        <v>72</v>
      </c>
      <c r="C43" s="27">
        <v>1300</v>
      </c>
      <c r="D43" t="s">
        <v>285</v>
      </c>
      <c r="E43" s="19" t="s">
        <v>359</v>
      </c>
      <c r="G43" s="18"/>
    </row>
    <row r="44" spans="1:8" x14ac:dyDescent="0.4">
      <c r="A44" s="18">
        <v>45859</v>
      </c>
      <c r="B44" s="18" t="s">
        <v>56</v>
      </c>
      <c r="C44" s="27">
        <v>220</v>
      </c>
      <c r="D44" t="s">
        <v>48</v>
      </c>
      <c r="E44" s="19" t="s">
        <v>185</v>
      </c>
      <c r="G44" s="18"/>
    </row>
    <row r="45" spans="1:8" x14ac:dyDescent="0.4">
      <c r="A45" s="18">
        <v>45859</v>
      </c>
      <c r="B45" s="18" t="s">
        <v>56</v>
      </c>
      <c r="C45" s="27">
        <v>252</v>
      </c>
      <c r="D45" t="s">
        <v>48</v>
      </c>
      <c r="E45" s="19" t="s">
        <v>304</v>
      </c>
      <c r="G45" s="18"/>
    </row>
    <row r="46" spans="1:8" x14ac:dyDescent="0.4">
      <c r="A46" s="18">
        <v>45859</v>
      </c>
      <c r="B46" s="18" t="s">
        <v>56</v>
      </c>
      <c r="C46" s="27">
        <v>150</v>
      </c>
      <c r="D46" t="s">
        <v>114</v>
      </c>
      <c r="E46" s="19" t="s">
        <v>186</v>
      </c>
      <c r="G46" s="18"/>
    </row>
    <row r="47" spans="1:8" x14ac:dyDescent="0.4">
      <c r="A47" s="18">
        <v>45859</v>
      </c>
      <c r="B47" s="18" t="s">
        <v>56</v>
      </c>
      <c r="C47" s="27">
        <v>5060</v>
      </c>
      <c r="D47" t="s">
        <v>114</v>
      </c>
      <c r="E47" s="19" t="s">
        <v>341</v>
      </c>
      <c r="G47" s="18"/>
    </row>
    <row r="48" spans="1:8" x14ac:dyDescent="0.4">
      <c r="A48" s="18">
        <v>45859</v>
      </c>
      <c r="B48" s="18" t="s">
        <v>56</v>
      </c>
      <c r="C48" s="27">
        <v>300</v>
      </c>
      <c r="D48" t="s">
        <v>252</v>
      </c>
      <c r="E48" s="19" t="s">
        <v>321</v>
      </c>
    </row>
    <row r="49" spans="1:5" x14ac:dyDescent="0.4">
      <c r="A49" s="18">
        <v>45859</v>
      </c>
      <c r="B49" s="18" t="s">
        <v>56</v>
      </c>
      <c r="C49" s="27">
        <v>178</v>
      </c>
      <c r="D49" t="s">
        <v>48</v>
      </c>
      <c r="E49" s="19" t="s">
        <v>303</v>
      </c>
    </row>
    <row r="50" spans="1:5" x14ac:dyDescent="0.4">
      <c r="A50" s="18">
        <v>45859</v>
      </c>
      <c r="B50" s="18" t="s">
        <v>56</v>
      </c>
      <c r="C50" s="27">
        <v>167</v>
      </c>
      <c r="D50" t="s">
        <v>48</v>
      </c>
      <c r="E50" s="19" t="s">
        <v>303</v>
      </c>
    </row>
    <row r="51" spans="1:5" x14ac:dyDescent="0.4">
      <c r="A51" s="18">
        <v>45859</v>
      </c>
      <c r="B51" s="18" t="s">
        <v>56</v>
      </c>
      <c r="C51" s="27">
        <v>188</v>
      </c>
      <c r="D51" t="s">
        <v>48</v>
      </c>
      <c r="E51" s="19" t="s">
        <v>303</v>
      </c>
    </row>
    <row r="52" spans="1:5" x14ac:dyDescent="0.4">
      <c r="A52" s="18">
        <v>45859</v>
      </c>
      <c r="B52" s="18" t="s">
        <v>56</v>
      </c>
      <c r="C52" s="27">
        <v>160</v>
      </c>
      <c r="D52" t="s">
        <v>48</v>
      </c>
      <c r="E52" s="147" t="s">
        <v>303</v>
      </c>
    </row>
    <row r="53" spans="1:5" x14ac:dyDescent="0.4">
      <c r="A53" s="18">
        <v>45859</v>
      </c>
      <c r="B53" s="18" t="s">
        <v>56</v>
      </c>
      <c r="C53" s="27">
        <v>2112</v>
      </c>
      <c r="D53" t="s">
        <v>114</v>
      </c>
      <c r="E53" s="19" t="s">
        <v>341</v>
      </c>
    </row>
    <row r="54" spans="1:5" x14ac:dyDescent="0.4">
      <c r="A54" s="18">
        <v>45859</v>
      </c>
      <c r="B54" s="18" t="s">
        <v>56</v>
      </c>
      <c r="C54" s="27">
        <v>432</v>
      </c>
      <c r="D54" t="s">
        <v>48</v>
      </c>
      <c r="E54" s="19" t="s">
        <v>303</v>
      </c>
    </row>
    <row r="55" spans="1:5" x14ac:dyDescent="0.4">
      <c r="A55" s="18">
        <v>45860</v>
      </c>
      <c r="B55" s="18" t="s">
        <v>66</v>
      </c>
      <c r="C55" s="27">
        <v>5643</v>
      </c>
      <c r="D55" t="s">
        <v>114</v>
      </c>
      <c r="E55" s="19" t="s">
        <v>380</v>
      </c>
    </row>
    <row r="56" spans="1:5" x14ac:dyDescent="0.4">
      <c r="A56" s="18">
        <v>45862</v>
      </c>
      <c r="B56" s="18" t="s">
        <v>69</v>
      </c>
      <c r="C56" s="27">
        <v>1485</v>
      </c>
      <c r="D56" t="s">
        <v>114</v>
      </c>
      <c r="E56" s="19" t="s">
        <v>309</v>
      </c>
    </row>
    <row r="57" spans="1:5" x14ac:dyDescent="0.4">
      <c r="A57" s="18">
        <v>45863</v>
      </c>
      <c r="B57" s="18" t="s">
        <v>71</v>
      </c>
      <c r="C57" s="27">
        <v>1431</v>
      </c>
      <c r="D57" t="s">
        <v>114</v>
      </c>
      <c r="E57" s="19" t="s">
        <v>309</v>
      </c>
    </row>
    <row r="58" spans="1:5" x14ac:dyDescent="0.4">
      <c r="A58" s="18">
        <v>45864</v>
      </c>
      <c r="B58" s="18" t="s">
        <v>72</v>
      </c>
      <c r="C58" s="27">
        <v>220</v>
      </c>
      <c r="D58" t="s">
        <v>48</v>
      </c>
      <c r="E58" s="19" t="s">
        <v>185</v>
      </c>
    </row>
    <row r="59" spans="1:5" x14ac:dyDescent="0.4">
      <c r="A59" s="18">
        <v>45864</v>
      </c>
      <c r="B59" s="18" t="s">
        <v>72</v>
      </c>
      <c r="C59" s="27">
        <v>345</v>
      </c>
      <c r="D59" t="s">
        <v>48</v>
      </c>
      <c r="E59" s="19" t="s">
        <v>304</v>
      </c>
    </row>
    <row r="60" spans="1:5" x14ac:dyDescent="0.4">
      <c r="A60" s="18">
        <v>45864</v>
      </c>
      <c r="B60" s="18" t="s">
        <v>72</v>
      </c>
      <c r="C60" s="27">
        <v>150</v>
      </c>
      <c r="D60" t="s">
        <v>114</v>
      </c>
      <c r="E60" s="19" t="s">
        <v>186</v>
      </c>
    </row>
    <row r="61" spans="1:5" x14ac:dyDescent="0.4">
      <c r="A61" s="18">
        <v>45864</v>
      </c>
      <c r="B61" s="18" t="s">
        <v>72</v>
      </c>
      <c r="C61" s="27">
        <v>3300</v>
      </c>
      <c r="D61" t="s">
        <v>252</v>
      </c>
      <c r="E61" s="19" t="s">
        <v>312</v>
      </c>
    </row>
    <row r="62" spans="1:5" x14ac:dyDescent="0.4">
      <c r="A62" s="18">
        <v>45864</v>
      </c>
      <c r="B62" s="18" t="s">
        <v>72</v>
      </c>
      <c r="C62" s="27">
        <v>5150</v>
      </c>
      <c r="D62" t="s">
        <v>114</v>
      </c>
      <c r="E62" s="19" t="s">
        <v>320</v>
      </c>
    </row>
    <row r="63" spans="1:5" x14ac:dyDescent="0.4">
      <c r="A63" s="18">
        <v>45864</v>
      </c>
      <c r="B63" s="18" t="s">
        <v>72</v>
      </c>
      <c r="C63" s="27">
        <v>320</v>
      </c>
      <c r="D63" t="s">
        <v>252</v>
      </c>
      <c r="E63" s="19" t="s">
        <v>367</v>
      </c>
    </row>
    <row r="64" spans="1:5" x14ac:dyDescent="0.4">
      <c r="A64" s="18">
        <v>45864</v>
      </c>
      <c r="B64" s="18" t="s">
        <v>72</v>
      </c>
      <c r="C64" s="27">
        <v>178</v>
      </c>
      <c r="D64" t="s">
        <v>48</v>
      </c>
      <c r="E64" s="19" t="s">
        <v>304</v>
      </c>
    </row>
    <row r="65" spans="1:5" x14ac:dyDescent="0.4">
      <c r="A65" s="18">
        <v>45864</v>
      </c>
      <c r="B65" s="18" t="s">
        <v>72</v>
      </c>
      <c r="C65" s="27">
        <v>168</v>
      </c>
      <c r="D65" t="s">
        <v>48</v>
      </c>
      <c r="E65" s="19" t="s">
        <v>304</v>
      </c>
    </row>
    <row r="66" spans="1:5" x14ac:dyDescent="0.4">
      <c r="A66" s="18">
        <v>45864</v>
      </c>
      <c r="B66" s="18" t="s">
        <v>72</v>
      </c>
      <c r="C66" s="27">
        <v>3146</v>
      </c>
      <c r="D66" t="s">
        <v>114</v>
      </c>
      <c r="E66" s="19" t="s">
        <v>341</v>
      </c>
    </row>
    <row r="67" spans="1:5" x14ac:dyDescent="0.4">
      <c r="A67" s="18">
        <v>45864</v>
      </c>
      <c r="B67" s="18" t="s">
        <v>72</v>
      </c>
      <c r="C67" s="27">
        <v>168</v>
      </c>
      <c r="D67" t="s">
        <v>48</v>
      </c>
      <c r="E67" s="19" t="s">
        <v>304</v>
      </c>
    </row>
    <row r="68" spans="1:5" x14ac:dyDescent="0.4">
      <c r="A68" s="18">
        <v>45864</v>
      </c>
      <c r="B68" s="18" t="s">
        <v>72</v>
      </c>
      <c r="C68" s="27">
        <v>178</v>
      </c>
      <c r="D68" t="s">
        <v>48</v>
      </c>
      <c r="E68" s="19" t="s">
        <v>304</v>
      </c>
    </row>
    <row r="69" spans="1:5" x14ac:dyDescent="0.4">
      <c r="A69" s="18">
        <v>45865</v>
      </c>
      <c r="B69" s="18" t="s">
        <v>73</v>
      </c>
      <c r="C69" s="27">
        <v>1369</v>
      </c>
      <c r="D69" t="s">
        <v>114</v>
      </c>
      <c r="E69" s="19" t="s">
        <v>307</v>
      </c>
    </row>
    <row r="70" spans="1:5" x14ac:dyDescent="0.4">
      <c r="A70" s="18">
        <v>45866</v>
      </c>
      <c r="B70" s="18" t="s">
        <v>56</v>
      </c>
      <c r="C70" s="27">
        <v>3750</v>
      </c>
      <c r="D70" t="s">
        <v>252</v>
      </c>
      <c r="E70" s="19" t="s">
        <v>326</v>
      </c>
    </row>
    <row r="71" spans="1:5" x14ac:dyDescent="0.4">
      <c r="A71" s="18">
        <v>45867</v>
      </c>
      <c r="B71" s="18" t="s">
        <v>66</v>
      </c>
      <c r="C71" s="27">
        <f>689+110</f>
        <v>799</v>
      </c>
      <c r="D71" t="s">
        <v>114</v>
      </c>
      <c r="E71" s="19" t="s">
        <v>309</v>
      </c>
    </row>
    <row r="72" spans="1:5" x14ac:dyDescent="0.4">
      <c r="A72" s="18">
        <v>45867</v>
      </c>
      <c r="B72" s="18" t="s">
        <v>66</v>
      </c>
      <c r="C72" s="27">
        <v>820</v>
      </c>
      <c r="D72" t="s">
        <v>114</v>
      </c>
      <c r="E72" s="19" t="s">
        <v>368</v>
      </c>
    </row>
    <row r="73" spans="1:5" x14ac:dyDescent="0.4">
      <c r="A73" s="18">
        <v>45869</v>
      </c>
      <c r="B73" s="18" t="s">
        <v>69</v>
      </c>
      <c r="D73" t="s">
        <v>20</v>
      </c>
      <c r="E73" s="19" t="s">
        <v>263</v>
      </c>
    </row>
    <row r="74" spans="1:5" x14ac:dyDescent="0.4">
      <c r="A74" s="18">
        <v>45869</v>
      </c>
      <c r="B74" s="18" t="s">
        <v>69</v>
      </c>
      <c r="D74" t="s">
        <v>20</v>
      </c>
      <c r="E74" s="19" t="s">
        <v>262</v>
      </c>
    </row>
    <row r="75" spans="1:5" x14ac:dyDescent="0.4">
      <c r="A75" s="18">
        <v>45869</v>
      </c>
      <c r="B75" s="18" t="s">
        <v>69</v>
      </c>
      <c r="C75" s="27">
        <v>1239</v>
      </c>
      <c r="D75" t="s">
        <v>114</v>
      </c>
      <c r="E75" s="19" t="s">
        <v>309</v>
      </c>
    </row>
    <row r="76" spans="1:5" x14ac:dyDescent="0.4">
      <c r="A76" s="18">
        <v>45869</v>
      </c>
      <c r="B76" s="18" t="s">
        <v>69</v>
      </c>
      <c r="C76" s="27">
        <v>800</v>
      </c>
      <c r="D76" t="s">
        <v>114</v>
      </c>
      <c r="E76" s="19" t="s">
        <v>368</v>
      </c>
    </row>
  </sheetData>
  <autoFilter ref="A2:E71" xr:uid="{5FCA3BFB-EF63-48BE-BF6C-FACE6655F1EF}"/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3A8F1-515C-4415-BCF1-E0122490727F}">
  <dimension ref="A1:H73"/>
  <sheetViews>
    <sheetView workbookViewId="0">
      <pane ySplit="2" topLeftCell="A3" activePane="bottomLeft" state="frozen"/>
      <selection activeCell="E30" sqref="E30"/>
      <selection pane="bottomLeft" activeCell="E33" sqref="E33"/>
    </sheetView>
  </sheetViews>
  <sheetFormatPr defaultRowHeight="18.75" x14ac:dyDescent="0.4"/>
  <cols>
    <col min="2" max="2" width="4.875" bestFit="1" customWidth="1"/>
    <col min="3" max="3" width="9" style="27"/>
    <col min="4" max="4" width="18.25" bestFit="1" customWidth="1"/>
    <col min="5" max="5" width="35.875" style="19" bestFit="1" customWidth="1"/>
    <col min="8" max="8" width="9" style="27"/>
  </cols>
  <sheetData>
    <row r="1" spans="1:8" x14ac:dyDescent="0.4">
      <c r="C1" s="27">
        <f>SUM(C3:C182)</f>
        <v>297647</v>
      </c>
      <c r="H1" s="27">
        <f>SUM(H3:H184)</f>
        <v>297647</v>
      </c>
    </row>
    <row r="2" spans="1:8" x14ac:dyDescent="0.4">
      <c r="A2" s="20" t="s">
        <v>50</v>
      </c>
      <c r="B2" s="20" t="s">
        <v>55</v>
      </c>
      <c r="C2" s="28" t="s">
        <v>52</v>
      </c>
      <c r="D2" s="20" t="s">
        <v>51</v>
      </c>
      <c r="E2" s="21" t="s">
        <v>53</v>
      </c>
      <c r="G2" s="20" t="s">
        <v>50</v>
      </c>
      <c r="H2" s="28" t="s">
        <v>52</v>
      </c>
    </row>
    <row r="3" spans="1:8" x14ac:dyDescent="0.4">
      <c r="A3" s="18">
        <v>45505</v>
      </c>
      <c r="B3" s="18" t="s">
        <v>69</v>
      </c>
      <c r="C3" s="27">
        <v>100000</v>
      </c>
      <c r="D3" t="s">
        <v>97</v>
      </c>
      <c r="E3" s="19" t="s">
        <v>90</v>
      </c>
      <c r="G3" s="18">
        <v>45505</v>
      </c>
      <c r="H3" s="27">
        <f t="shared" ref="H3:H33" si="0">SUMIF($A$3:$A$230,$G3,$C$3:$C$230)</f>
        <v>272988</v>
      </c>
    </row>
    <row r="4" spans="1:8" x14ac:dyDescent="0.4">
      <c r="A4" s="18">
        <v>45505</v>
      </c>
      <c r="B4" s="18" t="s">
        <v>69</v>
      </c>
      <c r="C4" s="27">
        <v>150000</v>
      </c>
      <c r="D4" t="s">
        <v>42</v>
      </c>
      <c r="E4" t="s">
        <v>42</v>
      </c>
      <c r="G4" s="18">
        <v>45506</v>
      </c>
      <c r="H4" s="27">
        <f t="shared" si="0"/>
        <v>0</v>
      </c>
    </row>
    <row r="5" spans="1:8" x14ac:dyDescent="0.4">
      <c r="A5" s="18">
        <v>45505</v>
      </c>
      <c r="B5" s="18" t="s">
        <v>69</v>
      </c>
      <c r="C5" s="27">
        <f>4277+1018</f>
        <v>5295</v>
      </c>
      <c r="D5" t="s">
        <v>58</v>
      </c>
      <c r="E5" s="19" t="s">
        <v>299</v>
      </c>
      <c r="G5" s="18">
        <v>45507</v>
      </c>
      <c r="H5" s="27">
        <f t="shared" si="0"/>
        <v>4839</v>
      </c>
    </row>
    <row r="6" spans="1:8" x14ac:dyDescent="0.4">
      <c r="A6" s="18">
        <v>45505</v>
      </c>
      <c r="B6" s="18" t="s">
        <v>69</v>
      </c>
      <c r="C6" s="27">
        <v>4708</v>
      </c>
      <c r="D6" t="s">
        <v>21</v>
      </c>
      <c r="E6" s="19" t="s">
        <v>302</v>
      </c>
      <c r="G6" s="18">
        <v>45508</v>
      </c>
      <c r="H6" s="27">
        <f t="shared" si="0"/>
        <v>1722</v>
      </c>
    </row>
    <row r="7" spans="1:8" x14ac:dyDescent="0.4">
      <c r="A7" s="18">
        <v>45505</v>
      </c>
      <c r="B7" s="18" t="s">
        <v>69</v>
      </c>
      <c r="C7" s="27">
        <v>3110</v>
      </c>
      <c r="D7" t="s">
        <v>25</v>
      </c>
      <c r="E7" s="19" t="s">
        <v>297</v>
      </c>
      <c r="G7" s="18">
        <v>45509</v>
      </c>
      <c r="H7" s="27">
        <f t="shared" si="0"/>
        <v>980</v>
      </c>
    </row>
    <row r="8" spans="1:8" x14ac:dyDescent="0.4">
      <c r="A8" s="18">
        <v>45505</v>
      </c>
      <c r="B8" s="18" t="s">
        <v>69</v>
      </c>
      <c r="C8" s="27">
        <v>3610</v>
      </c>
      <c r="D8" t="s">
        <v>25</v>
      </c>
      <c r="E8" s="19" t="s">
        <v>298</v>
      </c>
      <c r="G8" s="18">
        <v>45510</v>
      </c>
      <c r="H8" s="27">
        <f t="shared" si="0"/>
        <v>180</v>
      </c>
    </row>
    <row r="9" spans="1:8" x14ac:dyDescent="0.4">
      <c r="A9" s="18">
        <v>45505</v>
      </c>
      <c r="B9" s="18" t="s">
        <v>69</v>
      </c>
      <c r="C9" s="27">
        <v>360</v>
      </c>
      <c r="D9" t="s">
        <v>25</v>
      </c>
      <c r="E9" s="19" t="s">
        <v>301</v>
      </c>
      <c r="G9" s="18">
        <v>45511</v>
      </c>
      <c r="H9" s="27">
        <f t="shared" si="0"/>
        <v>1473</v>
      </c>
    </row>
    <row r="10" spans="1:8" x14ac:dyDescent="0.4">
      <c r="A10" s="18">
        <v>45505</v>
      </c>
      <c r="B10" s="18" t="s">
        <v>69</v>
      </c>
      <c r="C10" s="27">
        <f>1800+3470</f>
        <v>5270</v>
      </c>
      <c r="D10" t="s">
        <v>25</v>
      </c>
      <c r="E10" s="19" t="s">
        <v>301</v>
      </c>
      <c r="G10" s="18">
        <v>45512</v>
      </c>
      <c r="H10" s="27">
        <f t="shared" si="0"/>
        <v>1239</v>
      </c>
    </row>
    <row r="11" spans="1:8" x14ac:dyDescent="0.4">
      <c r="A11" s="18">
        <v>45505</v>
      </c>
      <c r="B11" s="18" t="s">
        <v>69</v>
      </c>
      <c r="C11" s="27">
        <v>635</v>
      </c>
      <c r="D11" t="s">
        <v>173</v>
      </c>
      <c r="E11" s="19" t="s">
        <v>309</v>
      </c>
      <c r="G11" s="18">
        <v>45513</v>
      </c>
      <c r="H11" s="27">
        <f t="shared" si="0"/>
        <v>649</v>
      </c>
    </row>
    <row r="12" spans="1:8" x14ac:dyDescent="0.4">
      <c r="A12" s="18">
        <v>45507</v>
      </c>
      <c r="B12" s="18" t="s">
        <v>72</v>
      </c>
      <c r="C12" s="27">
        <v>3734</v>
      </c>
      <c r="D12" t="s">
        <v>114</v>
      </c>
      <c r="E12" s="19" t="s">
        <v>320</v>
      </c>
      <c r="G12" s="18">
        <v>45514</v>
      </c>
      <c r="H12" s="27">
        <f t="shared" si="0"/>
        <v>9437</v>
      </c>
    </row>
    <row r="13" spans="1:8" x14ac:dyDescent="0.4">
      <c r="A13" s="18">
        <v>45507</v>
      </c>
      <c r="B13" s="18" t="s">
        <v>72</v>
      </c>
      <c r="C13" s="27">
        <v>1105</v>
      </c>
      <c r="D13" t="s">
        <v>57</v>
      </c>
      <c r="E13" s="19" t="s">
        <v>343</v>
      </c>
      <c r="G13" s="18">
        <v>45515</v>
      </c>
      <c r="H13" s="27">
        <f t="shared" si="0"/>
        <v>4140</v>
      </c>
    </row>
    <row r="14" spans="1:8" x14ac:dyDescent="0.4">
      <c r="A14" s="18">
        <v>45508</v>
      </c>
      <c r="B14" s="18" t="s">
        <v>73</v>
      </c>
      <c r="C14" s="27">
        <v>1722</v>
      </c>
      <c r="D14" t="s">
        <v>114</v>
      </c>
      <c r="E14" s="19" t="s">
        <v>307</v>
      </c>
      <c r="G14" s="18">
        <v>45516</v>
      </c>
      <c r="H14" s="27">
        <f t="shared" si="0"/>
        <v>0</v>
      </c>
    </row>
    <row r="15" spans="1:8" x14ac:dyDescent="0.4">
      <c r="A15" s="18">
        <v>45509</v>
      </c>
      <c r="B15" s="18" t="s">
        <v>56</v>
      </c>
      <c r="C15" s="27">
        <v>980</v>
      </c>
      <c r="D15" t="s">
        <v>58</v>
      </c>
      <c r="E15" s="19" t="s">
        <v>143</v>
      </c>
      <c r="G15" s="18">
        <v>45517</v>
      </c>
      <c r="H15" s="27">
        <f t="shared" si="0"/>
        <v>0</v>
      </c>
    </row>
    <row r="16" spans="1:8" x14ac:dyDescent="0.4">
      <c r="A16" s="18">
        <v>45510</v>
      </c>
      <c r="B16" s="18" t="s">
        <v>66</v>
      </c>
      <c r="C16" s="27">
        <v>180</v>
      </c>
      <c r="D16" t="s">
        <v>114</v>
      </c>
      <c r="E16" s="19" t="s">
        <v>294</v>
      </c>
      <c r="G16" s="18">
        <v>45518</v>
      </c>
      <c r="H16" s="27">
        <f t="shared" si="0"/>
        <v>0</v>
      </c>
    </row>
    <row r="17" spans="1:8" x14ac:dyDescent="0.4">
      <c r="A17" s="18">
        <v>45511</v>
      </c>
      <c r="B17" s="18" t="s">
        <v>67</v>
      </c>
      <c r="C17" s="27">
        <v>1473</v>
      </c>
      <c r="D17" t="s">
        <v>252</v>
      </c>
      <c r="E17" s="19" t="s">
        <v>327</v>
      </c>
      <c r="G17" s="18">
        <v>45519</v>
      </c>
      <c r="H17" s="27">
        <f t="shared" si="0"/>
        <v>0</v>
      </c>
    </row>
    <row r="18" spans="1:8" x14ac:dyDescent="0.4">
      <c r="A18" s="18">
        <v>45512</v>
      </c>
      <c r="B18" s="18" t="s">
        <v>69</v>
      </c>
      <c r="C18" s="27">
        <v>1239</v>
      </c>
      <c r="D18" t="s">
        <v>114</v>
      </c>
      <c r="E18" s="19" t="s">
        <v>309</v>
      </c>
      <c r="G18" s="18">
        <v>45520</v>
      </c>
      <c r="H18" s="27">
        <f t="shared" si="0"/>
        <v>0</v>
      </c>
    </row>
    <row r="19" spans="1:8" x14ac:dyDescent="0.4">
      <c r="A19" s="18">
        <v>45513</v>
      </c>
      <c r="B19" s="18" t="s">
        <v>71</v>
      </c>
      <c r="C19" s="27">
        <v>649</v>
      </c>
      <c r="D19" t="s">
        <v>114</v>
      </c>
      <c r="E19" s="19" t="s">
        <v>309</v>
      </c>
      <c r="G19" s="18">
        <v>45521</v>
      </c>
      <c r="H19" s="27">
        <f t="shared" si="0"/>
        <v>0</v>
      </c>
    </row>
    <row r="20" spans="1:8" x14ac:dyDescent="0.4">
      <c r="A20" s="18">
        <v>45514</v>
      </c>
      <c r="B20" s="18" t="s">
        <v>72</v>
      </c>
      <c r="C20" s="27">
        <v>220</v>
      </c>
      <c r="D20" t="s">
        <v>295</v>
      </c>
      <c r="E20" s="19" t="s">
        <v>296</v>
      </c>
      <c r="G20" s="18">
        <v>45522</v>
      </c>
      <c r="H20" s="27">
        <f t="shared" si="0"/>
        <v>0</v>
      </c>
    </row>
    <row r="21" spans="1:8" x14ac:dyDescent="0.4">
      <c r="A21" s="18">
        <v>45514</v>
      </c>
      <c r="B21" s="18" t="s">
        <v>72</v>
      </c>
      <c r="C21" s="27">
        <v>868</v>
      </c>
      <c r="D21" t="s">
        <v>295</v>
      </c>
      <c r="E21" s="19" t="s">
        <v>303</v>
      </c>
      <c r="G21" s="18">
        <v>45523</v>
      </c>
      <c r="H21" s="27">
        <f t="shared" si="0"/>
        <v>0</v>
      </c>
    </row>
    <row r="22" spans="1:8" x14ac:dyDescent="0.4">
      <c r="A22" s="18">
        <v>45514</v>
      </c>
      <c r="B22" s="18" t="s">
        <v>72</v>
      </c>
      <c r="C22" s="27">
        <v>150</v>
      </c>
      <c r="D22" t="s">
        <v>114</v>
      </c>
      <c r="E22" s="19" t="s">
        <v>186</v>
      </c>
      <c r="G22" s="18">
        <v>45524</v>
      </c>
      <c r="H22" s="27">
        <f t="shared" si="0"/>
        <v>0</v>
      </c>
    </row>
    <row r="23" spans="1:8" x14ac:dyDescent="0.4">
      <c r="A23" s="18">
        <v>45514</v>
      </c>
      <c r="B23" s="18" t="s">
        <v>72</v>
      </c>
      <c r="C23" s="27">
        <v>1200</v>
      </c>
      <c r="D23" t="s">
        <v>252</v>
      </c>
      <c r="E23" s="19" t="s">
        <v>367</v>
      </c>
      <c r="G23" s="18">
        <v>45525</v>
      </c>
      <c r="H23" s="27">
        <f t="shared" si="0"/>
        <v>0</v>
      </c>
    </row>
    <row r="24" spans="1:8" x14ac:dyDescent="0.4">
      <c r="A24" s="18">
        <v>45514</v>
      </c>
      <c r="B24" s="18" t="s">
        <v>72</v>
      </c>
      <c r="C24" s="27">
        <v>3470</v>
      </c>
      <c r="D24" t="s">
        <v>114</v>
      </c>
      <c r="E24" s="19" t="s">
        <v>388</v>
      </c>
      <c r="G24" s="18">
        <v>45526</v>
      </c>
      <c r="H24" s="27">
        <f t="shared" si="0"/>
        <v>0</v>
      </c>
    </row>
    <row r="25" spans="1:8" x14ac:dyDescent="0.4">
      <c r="A25" s="18">
        <v>45514</v>
      </c>
      <c r="B25" s="18" t="s">
        <v>72</v>
      </c>
      <c r="C25" s="27">
        <v>170</v>
      </c>
      <c r="D25" t="s">
        <v>114</v>
      </c>
      <c r="E25" s="19" t="s">
        <v>186</v>
      </c>
      <c r="G25" s="18">
        <v>45527</v>
      </c>
      <c r="H25" s="27">
        <f t="shared" si="0"/>
        <v>0</v>
      </c>
    </row>
    <row r="26" spans="1:8" x14ac:dyDescent="0.4">
      <c r="A26" s="18">
        <v>45514</v>
      </c>
      <c r="B26" s="18" t="s">
        <v>72</v>
      </c>
      <c r="C26" s="27">
        <v>1450</v>
      </c>
      <c r="D26" t="s">
        <v>114</v>
      </c>
      <c r="E26" s="19" t="s">
        <v>341</v>
      </c>
      <c r="G26" s="18">
        <v>45528</v>
      </c>
      <c r="H26" s="27">
        <f t="shared" si="0"/>
        <v>0</v>
      </c>
    </row>
    <row r="27" spans="1:8" x14ac:dyDescent="0.4">
      <c r="A27" s="18">
        <v>45514</v>
      </c>
      <c r="B27" s="18" t="s">
        <v>72</v>
      </c>
      <c r="C27" s="27">
        <v>806</v>
      </c>
      <c r="D27" t="s">
        <v>295</v>
      </c>
      <c r="E27" s="19" t="s">
        <v>303</v>
      </c>
      <c r="G27" s="18">
        <v>45529</v>
      </c>
      <c r="H27" s="27">
        <f t="shared" si="0"/>
        <v>0</v>
      </c>
    </row>
    <row r="28" spans="1:8" x14ac:dyDescent="0.4">
      <c r="A28" s="18">
        <v>45514</v>
      </c>
      <c r="B28" s="18" t="s">
        <v>72</v>
      </c>
      <c r="C28" s="27">
        <f>1103-108</f>
        <v>995</v>
      </c>
      <c r="D28" t="s">
        <v>57</v>
      </c>
      <c r="E28" s="19" t="s">
        <v>343</v>
      </c>
      <c r="G28" s="18">
        <v>45530</v>
      </c>
      <c r="H28" s="27">
        <f t="shared" si="0"/>
        <v>0</v>
      </c>
    </row>
    <row r="29" spans="1:8" x14ac:dyDescent="0.4">
      <c r="A29" s="18">
        <v>45514</v>
      </c>
      <c r="B29" s="18" t="s">
        <v>72</v>
      </c>
      <c r="C29" s="27">
        <v>108</v>
      </c>
      <c r="D29" t="s">
        <v>114</v>
      </c>
      <c r="E29" s="19" t="s">
        <v>343</v>
      </c>
      <c r="G29" s="18">
        <v>45531</v>
      </c>
      <c r="H29" s="27">
        <f t="shared" si="0"/>
        <v>0</v>
      </c>
    </row>
    <row r="30" spans="1:8" x14ac:dyDescent="0.4">
      <c r="A30" s="18">
        <v>45515</v>
      </c>
      <c r="B30" s="18" t="s">
        <v>73</v>
      </c>
      <c r="C30" s="27">
        <v>540</v>
      </c>
      <c r="D30" t="s">
        <v>252</v>
      </c>
      <c r="E30" s="19" t="s">
        <v>327</v>
      </c>
      <c r="G30" s="18">
        <v>45532</v>
      </c>
      <c r="H30" s="27">
        <f t="shared" si="0"/>
        <v>0</v>
      </c>
    </row>
    <row r="31" spans="1:8" x14ac:dyDescent="0.4">
      <c r="A31" s="18">
        <v>45515</v>
      </c>
      <c r="B31" s="18" t="s">
        <v>73</v>
      </c>
      <c r="C31" s="27">
        <v>1620</v>
      </c>
      <c r="D31" t="s">
        <v>114</v>
      </c>
      <c r="E31" s="19" t="s">
        <v>307</v>
      </c>
      <c r="G31" s="18">
        <v>45533</v>
      </c>
      <c r="H31" s="27">
        <f t="shared" si="0"/>
        <v>0</v>
      </c>
    </row>
    <row r="32" spans="1:8" x14ac:dyDescent="0.4">
      <c r="A32" s="18">
        <v>45515</v>
      </c>
      <c r="B32" s="18" t="s">
        <v>73</v>
      </c>
      <c r="C32" s="27">
        <v>1980</v>
      </c>
      <c r="D32" t="s">
        <v>58</v>
      </c>
      <c r="E32" s="19" t="s">
        <v>312</v>
      </c>
      <c r="G32" s="18">
        <v>45534</v>
      </c>
      <c r="H32" s="27">
        <f t="shared" si="0"/>
        <v>0</v>
      </c>
    </row>
    <row r="33" spans="1:8" x14ac:dyDescent="0.4">
      <c r="G33" s="18">
        <v>45535</v>
      </c>
      <c r="H33" s="27">
        <f t="shared" si="0"/>
        <v>0</v>
      </c>
    </row>
    <row r="34" spans="1:8" x14ac:dyDescent="0.4">
      <c r="G34" s="18"/>
    </row>
    <row r="35" spans="1:8" x14ac:dyDescent="0.4">
      <c r="A35" s="18"/>
      <c r="B35" s="18"/>
    </row>
    <row r="36" spans="1:8" x14ac:dyDescent="0.4">
      <c r="A36" s="18"/>
      <c r="B36" s="18"/>
    </row>
    <row r="37" spans="1:8" x14ac:dyDescent="0.4">
      <c r="A37" s="18"/>
      <c r="B37" s="18"/>
    </row>
    <row r="38" spans="1:8" x14ac:dyDescent="0.4">
      <c r="A38" s="18"/>
      <c r="B38" s="18"/>
      <c r="G38" s="18"/>
    </row>
    <row r="39" spans="1:8" x14ac:dyDescent="0.4">
      <c r="A39" s="18"/>
      <c r="B39" s="18"/>
      <c r="G39" s="18"/>
    </row>
    <row r="40" spans="1:8" x14ac:dyDescent="0.4">
      <c r="A40" s="18"/>
      <c r="B40" s="18"/>
      <c r="G40" s="18"/>
    </row>
    <row r="41" spans="1:8" x14ac:dyDescent="0.4">
      <c r="A41" s="18"/>
      <c r="B41" s="18"/>
      <c r="G41" s="18"/>
    </row>
    <row r="42" spans="1:8" x14ac:dyDescent="0.4">
      <c r="A42" s="18"/>
      <c r="B42" s="18"/>
      <c r="G42" s="18"/>
    </row>
    <row r="43" spans="1:8" x14ac:dyDescent="0.4">
      <c r="A43" s="18"/>
      <c r="B43" s="18"/>
      <c r="G43" s="18"/>
    </row>
    <row r="44" spans="1:8" x14ac:dyDescent="0.4">
      <c r="A44" s="18"/>
      <c r="B44" s="18"/>
      <c r="G44" s="18"/>
    </row>
    <row r="45" spans="1:8" x14ac:dyDescent="0.4">
      <c r="A45" s="18"/>
      <c r="B45" s="18"/>
      <c r="G45" s="18"/>
    </row>
    <row r="46" spans="1:8" x14ac:dyDescent="0.4">
      <c r="A46" s="18"/>
      <c r="B46" s="18"/>
      <c r="G46" s="18"/>
    </row>
    <row r="47" spans="1:8" x14ac:dyDescent="0.4">
      <c r="A47" s="18"/>
      <c r="B47" s="18"/>
      <c r="G47" s="18"/>
    </row>
    <row r="48" spans="1:8" x14ac:dyDescent="0.4">
      <c r="A48" s="18"/>
      <c r="B48" s="18"/>
      <c r="G48" s="18"/>
    </row>
    <row r="49" spans="1:7" x14ac:dyDescent="0.4">
      <c r="A49" s="18"/>
      <c r="B49" s="18"/>
      <c r="C49" s="17"/>
      <c r="G49" s="18"/>
    </row>
    <row r="50" spans="1:7" x14ac:dyDescent="0.4">
      <c r="A50" s="18"/>
      <c r="B50" s="18"/>
      <c r="C50" s="17"/>
      <c r="G50" s="18"/>
    </row>
    <row r="51" spans="1:7" x14ac:dyDescent="0.4">
      <c r="A51" s="18"/>
      <c r="B51" s="18"/>
      <c r="C51" s="17"/>
      <c r="G51" s="18"/>
    </row>
    <row r="52" spans="1:7" x14ac:dyDescent="0.4">
      <c r="A52" s="18"/>
      <c r="B52" s="18"/>
      <c r="C52" s="17"/>
      <c r="G52" s="18"/>
    </row>
    <row r="53" spans="1:7" x14ac:dyDescent="0.4">
      <c r="A53" s="18"/>
      <c r="B53" s="18"/>
      <c r="C53" s="17"/>
      <c r="G53" s="18"/>
    </row>
    <row r="54" spans="1:7" x14ac:dyDescent="0.4">
      <c r="A54" s="18"/>
      <c r="B54" s="18"/>
      <c r="G54" s="18"/>
    </row>
    <row r="55" spans="1:7" x14ac:dyDescent="0.4">
      <c r="A55" s="18"/>
      <c r="B55" s="18"/>
      <c r="C55" s="17"/>
      <c r="G55" s="18"/>
    </row>
    <row r="56" spans="1:7" x14ac:dyDescent="0.4">
      <c r="A56" s="18"/>
      <c r="B56" s="18"/>
      <c r="G56" s="18"/>
    </row>
    <row r="57" spans="1:7" x14ac:dyDescent="0.4">
      <c r="A57" s="18"/>
      <c r="B57" s="18"/>
      <c r="G57" s="18"/>
    </row>
    <row r="58" spans="1:7" x14ac:dyDescent="0.4">
      <c r="A58" s="18"/>
      <c r="B58" s="18"/>
      <c r="G58" s="18"/>
    </row>
    <row r="59" spans="1:7" x14ac:dyDescent="0.4">
      <c r="A59" s="18"/>
      <c r="B59" s="18"/>
      <c r="G59" s="18"/>
    </row>
    <row r="60" spans="1:7" x14ac:dyDescent="0.4">
      <c r="A60" s="18"/>
      <c r="B60" s="18"/>
      <c r="G60" s="18"/>
    </row>
    <row r="61" spans="1:7" x14ac:dyDescent="0.4">
      <c r="A61" s="18"/>
      <c r="B61" s="18"/>
      <c r="G61" s="18"/>
    </row>
    <row r="62" spans="1:7" x14ac:dyDescent="0.4">
      <c r="A62" s="18"/>
      <c r="B62" s="18"/>
      <c r="G62" s="18"/>
    </row>
    <row r="63" spans="1:7" x14ac:dyDescent="0.4">
      <c r="A63" s="18"/>
      <c r="B63" s="18"/>
      <c r="G63" s="18"/>
    </row>
    <row r="64" spans="1:7" x14ac:dyDescent="0.4">
      <c r="A64" s="18"/>
      <c r="B64" s="18"/>
      <c r="G64" s="18"/>
    </row>
    <row r="65" spans="1:7" x14ac:dyDescent="0.4">
      <c r="A65" s="18"/>
      <c r="B65" s="18"/>
      <c r="G65" s="18"/>
    </row>
    <row r="66" spans="1:7" x14ac:dyDescent="0.4">
      <c r="A66" s="18"/>
      <c r="B66" s="18"/>
      <c r="G66" s="18"/>
    </row>
    <row r="67" spans="1:7" x14ac:dyDescent="0.4">
      <c r="A67" s="18"/>
      <c r="B67" s="18"/>
      <c r="G67" s="18"/>
    </row>
    <row r="68" spans="1:7" x14ac:dyDescent="0.4">
      <c r="A68" s="18"/>
      <c r="B68" s="18"/>
      <c r="G68" s="18"/>
    </row>
    <row r="69" spans="1:7" x14ac:dyDescent="0.4">
      <c r="A69" s="18"/>
      <c r="B69" s="18"/>
      <c r="G69" s="18"/>
    </row>
    <row r="70" spans="1:7" x14ac:dyDescent="0.4">
      <c r="A70" s="18"/>
      <c r="B70" s="18"/>
      <c r="G70" s="18"/>
    </row>
    <row r="71" spans="1:7" x14ac:dyDescent="0.4">
      <c r="A71" s="18"/>
      <c r="B71" s="18"/>
      <c r="G71" s="18"/>
    </row>
    <row r="72" spans="1:7" x14ac:dyDescent="0.4">
      <c r="A72" s="18"/>
      <c r="B72" s="18"/>
      <c r="G72" s="18"/>
    </row>
    <row r="73" spans="1:7" x14ac:dyDescent="0.4">
      <c r="A73" s="18"/>
      <c r="B73" s="18"/>
      <c r="G73" s="18"/>
    </row>
  </sheetData>
  <autoFilter ref="A2:E73" xr:uid="{4E03A8F1-515C-4415-BCF1-E0122490727F}"/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A6DFD-0CA3-4917-BEBE-E90589FAFD4B}">
  <dimension ref="A1:H79"/>
  <sheetViews>
    <sheetView workbookViewId="0">
      <pane ySplit="2" topLeftCell="A3" activePane="bottomLeft" state="frozen"/>
      <selection activeCell="E30" sqref="E30"/>
      <selection pane="bottomLeft" activeCell="D19" sqref="D19"/>
    </sheetView>
  </sheetViews>
  <sheetFormatPr defaultRowHeight="18.75" x14ac:dyDescent="0.4"/>
  <cols>
    <col min="2" max="2" width="4.875" bestFit="1" customWidth="1"/>
    <col min="3" max="3" width="9" style="27"/>
    <col min="4" max="4" width="18.25" bestFit="1" customWidth="1"/>
    <col min="5" max="5" width="35.875" style="19" bestFit="1" customWidth="1"/>
    <col min="8" max="8" width="9" style="27"/>
  </cols>
  <sheetData>
    <row r="1" spans="1:8" x14ac:dyDescent="0.4">
      <c r="C1" s="27">
        <f>SUM(C3:C162)</f>
        <v>272353</v>
      </c>
      <c r="H1" s="27">
        <f>SUM(H3:H163)</f>
        <v>272353</v>
      </c>
    </row>
    <row r="2" spans="1:8" x14ac:dyDescent="0.4">
      <c r="A2" s="20" t="s">
        <v>50</v>
      </c>
      <c r="B2" s="20" t="s">
        <v>55</v>
      </c>
      <c r="C2" s="28" t="s">
        <v>52</v>
      </c>
      <c r="D2" s="20" t="s">
        <v>51</v>
      </c>
      <c r="E2" s="21" t="s">
        <v>53</v>
      </c>
      <c r="G2" s="20" t="s">
        <v>50</v>
      </c>
      <c r="H2" s="28" t="s">
        <v>52</v>
      </c>
    </row>
    <row r="3" spans="1:8" x14ac:dyDescent="0.4">
      <c r="A3" s="18">
        <v>45536</v>
      </c>
      <c r="B3" s="18" t="s">
        <v>73</v>
      </c>
      <c r="C3" s="27">
        <v>100000</v>
      </c>
      <c r="D3" t="s">
        <v>97</v>
      </c>
      <c r="E3" s="19" t="s">
        <v>90</v>
      </c>
      <c r="G3" s="18">
        <v>45536</v>
      </c>
      <c r="H3" s="27">
        <f t="shared" ref="H3:H32" si="0">SUMIF($A$3:$A$210,$G3,$C$3:$C$210)</f>
        <v>272353</v>
      </c>
    </row>
    <row r="4" spans="1:8" x14ac:dyDescent="0.4">
      <c r="A4" s="18">
        <v>45536</v>
      </c>
      <c r="B4" s="18" t="s">
        <v>73</v>
      </c>
      <c r="C4" s="27">
        <v>150000</v>
      </c>
      <c r="D4" t="s">
        <v>42</v>
      </c>
      <c r="E4" t="s">
        <v>42</v>
      </c>
      <c r="G4" s="18">
        <v>45537</v>
      </c>
      <c r="H4" s="27">
        <f t="shared" si="0"/>
        <v>0</v>
      </c>
    </row>
    <row r="5" spans="1:8" x14ac:dyDescent="0.4">
      <c r="A5" s="18">
        <v>45536</v>
      </c>
      <c r="B5" s="18" t="s">
        <v>73</v>
      </c>
      <c r="C5" s="27">
        <f>4277+1018</f>
        <v>5295</v>
      </c>
      <c r="D5" t="s">
        <v>58</v>
      </c>
      <c r="E5" s="19" t="s">
        <v>299</v>
      </c>
      <c r="G5" s="18">
        <v>45538</v>
      </c>
      <c r="H5" s="27">
        <f t="shared" si="0"/>
        <v>0</v>
      </c>
    </row>
    <row r="6" spans="1:8" x14ac:dyDescent="0.4">
      <c r="A6" s="18">
        <v>45536</v>
      </c>
      <c r="B6" s="18" t="s">
        <v>73</v>
      </c>
      <c r="C6" s="27">
        <v>4708</v>
      </c>
      <c r="D6" t="s">
        <v>21</v>
      </c>
      <c r="E6" s="19" t="s">
        <v>302</v>
      </c>
      <c r="G6" s="18">
        <v>45539</v>
      </c>
      <c r="H6" s="27">
        <f t="shared" si="0"/>
        <v>0</v>
      </c>
    </row>
    <row r="7" spans="1:8" x14ac:dyDescent="0.4">
      <c r="A7" s="18">
        <v>45536</v>
      </c>
      <c r="B7" s="18" t="s">
        <v>73</v>
      </c>
      <c r="C7" s="27">
        <v>3110</v>
      </c>
      <c r="D7" t="s">
        <v>25</v>
      </c>
      <c r="E7" s="19" t="s">
        <v>297</v>
      </c>
      <c r="G7" s="18">
        <v>45540</v>
      </c>
      <c r="H7" s="27">
        <f t="shared" si="0"/>
        <v>0</v>
      </c>
    </row>
    <row r="8" spans="1:8" x14ac:dyDescent="0.4">
      <c r="A8" s="18">
        <v>45536</v>
      </c>
      <c r="B8" s="18" t="s">
        <v>73</v>
      </c>
      <c r="C8" s="27">
        <v>3610</v>
      </c>
      <c r="D8" t="s">
        <v>25</v>
      </c>
      <c r="E8" s="19" t="s">
        <v>298</v>
      </c>
      <c r="G8" s="18">
        <v>45541</v>
      </c>
      <c r="H8" s="27">
        <f t="shared" si="0"/>
        <v>0</v>
      </c>
    </row>
    <row r="9" spans="1:8" x14ac:dyDescent="0.4">
      <c r="A9" s="18">
        <v>45536</v>
      </c>
      <c r="B9" s="18" t="s">
        <v>73</v>
      </c>
      <c r="C9" s="27">
        <v>360</v>
      </c>
      <c r="D9" t="s">
        <v>25</v>
      </c>
      <c r="E9" s="19" t="s">
        <v>301</v>
      </c>
      <c r="G9" s="18">
        <v>45542</v>
      </c>
      <c r="H9" s="27">
        <f t="shared" si="0"/>
        <v>0</v>
      </c>
    </row>
    <row r="10" spans="1:8" x14ac:dyDescent="0.4">
      <c r="A10" s="18">
        <v>45536</v>
      </c>
      <c r="B10" s="18" t="s">
        <v>73</v>
      </c>
      <c r="C10" s="27">
        <f>1800+3470</f>
        <v>5270</v>
      </c>
      <c r="D10" t="s">
        <v>25</v>
      </c>
      <c r="E10" s="19" t="s">
        <v>300</v>
      </c>
      <c r="G10" s="18">
        <v>45543</v>
      </c>
      <c r="H10" s="27">
        <f t="shared" si="0"/>
        <v>0</v>
      </c>
    </row>
    <row r="11" spans="1:8" x14ac:dyDescent="0.4">
      <c r="A11" s="18"/>
      <c r="B11" s="18"/>
      <c r="G11" s="18">
        <v>45544</v>
      </c>
      <c r="H11" s="27">
        <f t="shared" si="0"/>
        <v>0</v>
      </c>
    </row>
    <row r="12" spans="1:8" x14ac:dyDescent="0.4">
      <c r="A12" s="18"/>
      <c r="B12" s="18"/>
      <c r="G12" s="18">
        <v>45545</v>
      </c>
      <c r="H12" s="27">
        <f t="shared" si="0"/>
        <v>0</v>
      </c>
    </row>
    <row r="13" spans="1:8" x14ac:dyDescent="0.4">
      <c r="A13" s="18"/>
      <c r="B13" s="18"/>
      <c r="C13" s="17"/>
      <c r="G13" s="18">
        <v>45546</v>
      </c>
      <c r="H13" s="27">
        <f t="shared" si="0"/>
        <v>0</v>
      </c>
    </row>
    <row r="14" spans="1:8" x14ac:dyDescent="0.4">
      <c r="A14" s="18"/>
      <c r="B14" s="18"/>
      <c r="G14" s="18">
        <v>45547</v>
      </c>
      <c r="H14" s="27">
        <f t="shared" si="0"/>
        <v>0</v>
      </c>
    </row>
    <row r="15" spans="1:8" x14ac:dyDescent="0.4">
      <c r="A15" s="18"/>
      <c r="B15" s="18"/>
      <c r="G15" s="18">
        <v>45548</v>
      </c>
      <c r="H15" s="27">
        <f t="shared" si="0"/>
        <v>0</v>
      </c>
    </row>
    <row r="16" spans="1:8" x14ac:dyDescent="0.4">
      <c r="A16" s="18"/>
      <c r="B16" s="18"/>
      <c r="G16" s="18">
        <v>45549</v>
      </c>
      <c r="H16" s="27">
        <f t="shared" si="0"/>
        <v>0</v>
      </c>
    </row>
    <row r="17" spans="1:8" x14ac:dyDescent="0.4">
      <c r="A17" s="18"/>
      <c r="B17" s="18"/>
      <c r="G17" s="18">
        <v>45550</v>
      </c>
      <c r="H17" s="27">
        <f t="shared" si="0"/>
        <v>0</v>
      </c>
    </row>
    <row r="18" spans="1:8" x14ac:dyDescent="0.4">
      <c r="A18" s="18"/>
      <c r="B18" s="18"/>
      <c r="G18" s="18">
        <v>45551</v>
      </c>
      <c r="H18" s="27">
        <f t="shared" si="0"/>
        <v>0</v>
      </c>
    </row>
    <row r="19" spans="1:8" x14ac:dyDescent="0.4">
      <c r="A19" s="18"/>
      <c r="B19" s="18"/>
      <c r="G19" s="18">
        <v>45552</v>
      </c>
      <c r="H19" s="27">
        <f t="shared" si="0"/>
        <v>0</v>
      </c>
    </row>
    <row r="20" spans="1:8" x14ac:dyDescent="0.4">
      <c r="A20" s="18"/>
      <c r="B20" s="18"/>
      <c r="G20" s="18">
        <v>45553</v>
      </c>
      <c r="H20" s="27">
        <f t="shared" si="0"/>
        <v>0</v>
      </c>
    </row>
    <row r="21" spans="1:8" x14ac:dyDescent="0.4">
      <c r="A21" s="18"/>
      <c r="B21" s="18"/>
      <c r="G21" s="18">
        <v>45554</v>
      </c>
      <c r="H21" s="27">
        <f t="shared" si="0"/>
        <v>0</v>
      </c>
    </row>
    <row r="22" spans="1:8" x14ac:dyDescent="0.4">
      <c r="A22" s="18"/>
      <c r="B22" s="18"/>
      <c r="G22" s="18">
        <v>45555</v>
      </c>
      <c r="H22" s="27">
        <f t="shared" si="0"/>
        <v>0</v>
      </c>
    </row>
    <row r="23" spans="1:8" x14ac:dyDescent="0.4">
      <c r="A23" s="18"/>
      <c r="B23" s="18"/>
      <c r="G23" s="18">
        <v>45556</v>
      </c>
      <c r="H23" s="27">
        <f t="shared" si="0"/>
        <v>0</v>
      </c>
    </row>
    <row r="24" spans="1:8" x14ac:dyDescent="0.4">
      <c r="A24" s="18"/>
      <c r="B24" s="18"/>
      <c r="G24" s="18">
        <v>45557</v>
      </c>
      <c r="H24" s="27">
        <f t="shared" si="0"/>
        <v>0</v>
      </c>
    </row>
    <row r="25" spans="1:8" x14ac:dyDescent="0.4">
      <c r="A25" s="18"/>
      <c r="B25" s="18"/>
      <c r="G25" s="18">
        <v>45558</v>
      </c>
      <c r="H25" s="27">
        <f t="shared" si="0"/>
        <v>0</v>
      </c>
    </row>
    <row r="26" spans="1:8" x14ac:dyDescent="0.4">
      <c r="A26" s="18"/>
      <c r="B26" s="18"/>
      <c r="G26" s="18">
        <v>45559</v>
      </c>
      <c r="H26" s="27">
        <f t="shared" si="0"/>
        <v>0</v>
      </c>
    </row>
    <row r="27" spans="1:8" x14ac:dyDescent="0.4">
      <c r="A27" s="18"/>
      <c r="B27" s="18"/>
      <c r="G27" s="18">
        <v>45560</v>
      </c>
      <c r="H27" s="27">
        <f t="shared" si="0"/>
        <v>0</v>
      </c>
    </row>
    <row r="28" spans="1:8" x14ac:dyDescent="0.4">
      <c r="A28" s="18"/>
      <c r="B28" s="18"/>
      <c r="G28" s="18">
        <v>45561</v>
      </c>
      <c r="H28" s="27">
        <f t="shared" si="0"/>
        <v>0</v>
      </c>
    </row>
    <row r="29" spans="1:8" x14ac:dyDescent="0.4">
      <c r="A29" s="18"/>
      <c r="B29" s="18"/>
      <c r="G29" s="18">
        <v>45562</v>
      </c>
      <c r="H29" s="27">
        <f t="shared" si="0"/>
        <v>0</v>
      </c>
    </row>
    <row r="30" spans="1:8" x14ac:dyDescent="0.4">
      <c r="A30" s="18"/>
      <c r="B30" s="18"/>
      <c r="G30" s="18">
        <v>45563</v>
      </c>
      <c r="H30" s="27">
        <f t="shared" si="0"/>
        <v>0</v>
      </c>
    </row>
    <row r="31" spans="1:8" x14ac:dyDescent="0.4">
      <c r="A31" s="18"/>
      <c r="B31" s="18"/>
      <c r="G31" s="18">
        <v>45564</v>
      </c>
      <c r="H31" s="27">
        <f t="shared" si="0"/>
        <v>0</v>
      </c>
    </row>
    <row r="32" spans="1:8" x14ac:dyDescent="0.4">
      <c r="A32" s="18"/>
      <c r="B32" s="18"/>
      <c r="G32" s="18">
        <v>45565</v>
      </c>
      <c r="H32" s="27">
        <f t="shared" si="0"/>
        <v>0</v>
      </c>
    </row>
    <row r="33" spans="1:7" x14ac:dyDescent="0.4">
      <c r="A33" s="18"/>
      <c r="B33" s="18"/>
      <c r="G33" s="18"/>
    </row>
    <row r="34" spans="1:7" x14ac:dyDescent="0.4">
      <c r="A34" s="18"/>
      <c r="B34" s="18"/>
      <c r="G34" s="18"/>
    </row>
    <row r="35" spans="1:7" x14ac:dyDescent="0.4">
      <c r="A35" s="18"/>
      <c r="B35" s="18"/>
      <c r="G35" s="18"/>
    </row>
    <row r="36" spans="1:7" x14ac:dyDescent="0.4">
      <c r="A36" s="18"/>
      <c r="B36" s="18"/>
      <c r="G36" s="18"/>
    </row>
    <row r="37" spans="1:7" x14ac:dyDescent="0.4">
      <c r="A37" s="18"/>
      <c r="B37" s="18"/>
      <c r="G37" s="18"/>
    </row>
    <row r="38" spans="1:7" x14ac:dyDescent="0.4">
      <c r="A38" s="18"/>
      <c r="B38" s="18"/>
      <c r="G38" s="18"/>
    </row>
    <row r="39" spans="1:7" x14ac:dyDescent="0.4">
      <c r="A39" s="18"/>
      <c r="B39" s="18"/>
      <c r="G39" s="18"/>
    </row>
    <row r="40" spans="1:7" x14ac:dyDescent="0.4">
      <c r="A40" s="18"/>
      <c r="B40" s="18"/>
      <c r="G40" s="18"/>
    </row>
    <row r="41" spans="1:7" x14ac:dyDescent="0.4">
      <c r="A41" s="18"/>
      <c r="B41" s="18"/>
      <c r="G41" s="18"/>
    </row>
    <row r="42" spans="1:7" x14ac:dyDescent="0.4">
      <c r="A42" s="18"/>
      <c r="B42" s="18"/>
    </row>
    <row r="43" spans="1:7" x14ac:dyDescent="0.4">
      <c r="A43" s="18"/>
      <c r="B43" s="18"/>
      <c r="G43" s="18"/>
    </row>
    <row r="44" spans="1:7" x14ac:dyDescent="0.4">
      <c r="A44" s="18"/>
      <c r="B44" s="18"/>
      <c r="G44" s="18"/>
    </row>
    <row r="45" spans="1:7" x14ac:dyDescent="0.4">
      <c r="A45" s="18"/>
      <c r="B45" s="18"/>
      <c r="G45" s="18"/>
    </row>
    <row r="46" spans="1:7" x14ac:dyDescent="0.4">
      <c r="A46" s="18"/>
      <c r="B46" s="18"/>
      <c r="G46" s="18"/>
    </row>
    <row r="47" spans="1:7" x14ac:dyDescent="0.4">
      <c r="A47" s="18"/>
      <c r="B47" s="18"/>
      <c r="G47" s="18"/>
    </row>
    <row r="48" spans="1:7" x14ac:dyDescent="0.4">
      <c r="A48" s="18"/>
      <c r="B48" s="18"/>
      <c r="G48" s="18"/>
    </row>
    <row r="49" spans="1:7" x14ac:dyDescent="0.4">
      <c r="A49" s="18"/>
      <c r="B49" s="18"/>
      <c r="G49" s="18"/>
    </row>
    <row r="50" spans="1:7" x14ac:dyDescent="0.4">
      <c r="A50" s="18"/>
      <c r="B50" s="18"/>
      <c r="G50" s="18"/>
    </row>
    <row r="51" spans="1:7" x14ac:dyDescent="0.4">
      <c r="A51" s="18"/>
      <c r="B51" s="18"/>
      <c r="G51" s="18"/>
    </row>
    <row r="52" spans="1:7" x14ac:dyDescent="0.4">
      <c r="A52" s="18"/>
      <c r="B52" s="18"/>
    </row>
    <row r="53" spans="1:7" x14ac:dyDescent="0.4">
      <c r="A53" s="18"/>
      <c r="B53" s="18"/>
    </row>
    <row r="54" spans="1:7" x14ac:dyDescent="0.4">
      <c r="A54" s="18"/>
      <c r="B54" s="18"/>
    </row>
    <row r="55" spans="1:7" x14ac:dyDescent="0.4">
      <c r="A55" s="18"/>
      <c r="B55" s="18"/>
    </row>
    <row r="56" spans="1:7" x14ac:dyDescent="0.4">
      <c r="A56" s="18"/>
      <c r="B56" s="18"/>
    </row>
    <row r="57" spans="1:7" x14ac:dyDescent="0.4">
      <c r="A57" s="18"/>
      <c r="B57" s="18"/>
    </row>
    <row r="58" spans="1:7" x14ac:dyDescent="0.4">
      <c r="A58" s="18"/>
      <c r="B58" s="18"/>
    </row>
    <row r="59" spans="1:7" x14ac:dyDescent="0.4">
      <c r="A59" s="18"/>
      <c r="B59" s="18"/>
    </row>
    <row r="60" spans="1:7" x14ac:dyDescent="0.4">
      <c r="A60" s="18"/>
      <c r="B60" s="18"/>
    </row>
    <row r="61" spans="1:7" x14ac:dyDescent="0.4">
      <c r="A61" s="18"/>
      <c r="B61" s="18"/>
    </row>
    <row r="62" spans="1:7" x14ac:dyDescent="0.4">
      <c r="A62" s="18"/>
      <c r="B62" s="18"/>
      <c r="C62" s="17"/>
    </row>
    <row r="63" spans="1:7" x14ac:dyDescent="0.4">
      <c r="A63" s="18"/>
      <c r="B63" s="18"/>
    </row>
    <row r="64" spans="1:7" x14ac:dyDescent="0.4">
      <c r="A64" s="18"/>
      <c r="B64" s="18"/>
    </row>
    <row r="65" spans="1:2" x14ac:dyDescent="0.4">
      <c r="A65" s="18"/>
      <c r="B65" s="18"/>
    </row>
    <row r="66" spans="1:2" x14ac:dyDescent="0.4">
      <c r="A66" s="18"/>
      <c r="B66" s="18"/>
    </row>
    <row r="67" spans="1:2" x14ac:dyDescent="0.4">
      <c r="A67" s="18"/>
      <c r="B67" s="18"/>
    </row>
    <row r="68" spans="1:2" x14ac:dyDescent="0.4">
      <c r="A68" s="18"/>
      <c r="B68" s="18"/>
    </row>
    <row r="69" spans="1:2" x14ac:dyDescent="0.4">
      <c r="A69" s="18"/>
      <c r="B69" s="18"/>
    </row>
    <row r="70" spans="1:2" x14ac:dyDescent="0.4">
      <c r="A70" s="18"/>
      <c r="B70" s="18"/>
    </row>
    <row r="71" spans="1:2" x14ac:dyDescent="0.4">
      <c r="A71" s="18"/>
      <c r="B71" s="18"/>
    </row>
    <row r="72" spans="1:2" x14ac:dyDescent="0.4">
      <c r="A72" s="18"/>
      <c r="B72" s="18"/>
    </row>
    <row r="73" spans="1:2" x14ac:dyDescent="0.4">
      <c r="A73" s="18"/>
      <c r="B73" s="18"/>
    </row>
    <row r="74" spans="1:2" x14ac:dyDescent="0.4">
      <c r="A74" s="18"/>
      <c r="B74" s="18"/>
    </row>
    <row r="75" spans="1:2" x14ac:dyDescent="0.4">
      <c r="A75" s="18"/>
      <c r="B75" s="18"/>
    </row>
    <row r="76" spans="1:2" x14ac:dyDescent="0.4">
      <c r="A76" s="18"/>
      <c r="B76" s="18"/>
    </row>
    <row r="77" spans="1:2" x14ac:dyDescent="0.4">
      <c r="A77" s="18"/>
      <c r="B77" s="18"/>
    </row>
    <row r="78" spans="1:2" x14ac:dyDescent="0.4">
      <c r="A78" s="18"/>
      <c r="B78" s="18"/>
    </row>
    <row r="79" spans="1:2" x14ac:dyDescent="0.4">
      <c r="A79" s="18"/>
      <c r="B79" s="18"/>
    </row>
  </sheetData>
  <autoFilter ref="A2:E79" xr:uid="{C8DA6DFD-0CA3-4917-BEBE-E90589FAFD4B}"/>
  <phoneticPr fontId="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B806E-D302-4131-9E0A-A4E2050904DB}">
  <dimension ref="A1:H86"/>
  <sheetViews>
    <sheetView workbookViewId="0">
      <pane ySplit="2" topLeftCell="A3" activePane="bottomLeft" state="frozen"/>
      <selection activeCell="E30" sqref="E30"/>
      <selection pane="bottomLeft" activeCell="D17" sqref="D17"/>
    </sheetView>
  </sheetViews>
  <sheetFormatPr defaultRowHeight="18.75" x14ac:dyDescent="0.4"/>
  <cols>
    <col min="2" max="2" width="4.875" bestFit="1" customWidth="1"/>
    <col min="3" max="3" width="9" style="27"/>
    <col min="4" max="4" width="18.25" bestFit="1" customWidth="1"/>
    <col min="5" max="5" width="35.875" style="19" bestFit="1" customWidth="1"/>
    <col min="8" max="8" width="9" style="27"/>
  </cols>
  <sheetData>
    <row r="1" spans="1:8" x14ac:dyDescent="0.4">
      <c r="C1" s="27">
        <f>SUM(C3:C179)</f>
        <v>272353</v>
      </c>
      <c r="H1" s="27">
        <f>SUM(H3:H181)</f>
        <v>272353</v>
      </c>
    </row>
    <row r="2" spans="1:8" x14ac:dyDescent="0.4">
      <c r="A2" s="20" t="s">
        <v>50</v>
      </c>
      <c r="B2" s="20" t="s">
        <v>55</v>
      </c>
      <c r="C2" s="28" t="s">
        <v>52</v>
      </c>
      <c r="D2" s="20" t="s">
        <v>51</v>
      </c>
      <c r="E2" s="21" t="s">
        <v>53</v>
      </c>
      <c r="G2" s="20" t="s">
        <v>50</v>
      </c>
      <c r="H2" s="28" t="s">
        <v>52</v>
      </c>
    </row>
    <row r="3" spans="1:8" x14ac:dyDescent="0.4">
      <c r="A3" s="18">
        <v>45566</v>
      </c>
      <c r="B3" s="18" t="s">
        <v>175</v>
      </c>
      <c r="C3" s="27">
        <v>100000</v>
      </c>
      <c r="D3" t="s">
        <v>97</v>
      </c>
      <c r="E3" s="19" t="s">
        <v>90</v>
      </c>
      <c r="G3" s="18">
        <v>45566</v>
      </c>
      <c r="H3" s="27">
        <f t="shared" ref="H3:H32" si="0">SUMIF($A$3:$A$227,$G3,$C$3:$C$227)</f>
        <v>272353</v>
      </c>
    </row>
    <row r="4" spans="1:8" x14ac:dyDescent="0.4">
      <c r="A4" s="18">
        <v>45566</v>
      </c>
      <c r="B4" s="18" t="s">
        <v>175</v>
      </c>
      <c r="C4" s="27">
        <v>150000</v>
      </c>
      <c r="D4" t="s">
        <v>42</v>
      </c>
      <c r="E4" t="s">
        <v>42</v>
      </c>
      <c r="G4" s="18">
        <v>45567</v>
      </c>
      <c r="H4" s="27">
        <f t="shared" si="0"/>
        <v>0</v>
      </c>
    </row>
    <row r="5" spans="1:8" x14ac:dyDescent="0.4">
      <c r="A5" s="18">
        <v>45566</v>
      </c>
      <c r="B5" s="18" t="s">
        <v>66</v>
      </c>
      <c r="C5" s="27">
        <f>4277+1018</f>
        <v>5295</v>
      </c>
      <c r="D5" t="s">
        <v>58</v>
      </c>
      <c r="E5" s="19" t="s">
        <v>299</v>
      </c>
      <c r="G5" s="18">
        <v>45568</v>
      </c>
      <c r="H5" s="27">
        <f t="shared" si="0"/>
        <v>0</v>
      </c>
    </row>
    <row r="6" spans="1:8" x14ac:dyDescent="0.4">
      <c r="A6" s="18">
        <v>45566</v>
      </c>
      <c r="B6" s="18" t="s">
        <v>66</v>
      </c>
      <c r="C6" s="27">
        <v>4708</v>
      </c>
      <c r="D6" t="s">
        <v>177</v>
      </c>
      <c r="E6" s="19" t="s">
        <v>302</v>
      </c>
      <c r="G6" s="18">
        <v>45569</v>
      </c>
      <c r="H6" s="27">
        <f t="shared" si="0"/>
        <v>0</v>
      </c>
    </row>
    <row r="7" spans="1:8" x14ac:dyDescent="0.4">
      <c r="A7" s="18">
        <v>45566</v>
      </c>
      <c r="B7" s="18" t="s">
        <v>66</v>
      </c>
      <c r="C7" s="27">
        <v>3110</v>
      </c>
      <c r="D7" t="s">
        <v>25</v>
      </c>
      <c r="E7" s="19" t="s">
        <v>297</v>
      </c>
      <c r="G7" s="18">
        <v>45570</v>
      </c>
      <c r="H7" s="27">
        <f t="shared" si="0"/>
        <v>0</v>
      </c>
    </row>
    <row r="8" spans="1:8" x14ac:dyDescent="0.4">
      <c r="A8" s="18">
        <v>45566</v>
      </c>
      <c r="B8" s="18" t="s">
        <v>66</v>
      </c>
      <c r="C8" s="27">
        <v>3610</v>
      </c>
      <c r="D8" t="s">
        <v>25</v>
      </c>
      <c r="E8" s="19" t="s">
        <v>298</v>
      </c>
      <c r="G8" s="18">
        <v>45571</v>
      </c>
      <c r="H8" s="27">
        <f t="shared" si="0"/>
        <v>0</v>
      </c>
    </row>
    <row r="9" spans="1:8" x14ac:dyDescent="0.4">
      <c r="A9" s="18">
        <v>45566</v>
      </c>
      <c r="B9" s="18" t="s">
        <v>66</v>
      </c>
      <c r="C9" s="27">
        <v>360</v>
      </c>
      <c r="D9" t="s">
        <v>25</v>
      </c>
      <c r="E9" s="19" t="s">
        <v>301</v>
      </c>
      <c r="G9" s="18">
        <v>45572</v>
      </c>
      <c r="H9" s="27">
        <f t="shared" si="0"/>
        <v>0</v>
      </c>
    </row>
    <row r="10" spans="1:8" x14ac:dyDescent="0.4">
      <c r="A10" s="18">
        <v>45566</v>
      </c>
      <c r="B10" s="18" t="s">
        <v>66</v>
      </c>
      <c r="C10" s="27">
        <f>1800+3470</f>
        <v>5270</v>
      </c>
      <c r="D10" t="s">
        <v>25</v>
      </c>
      <c r="E10" s="19" t="s">
        <v>301</v>
      </c>
      <c r="G10" s="18">
        <v>45573</v>
      </c>
      <c r="H10" s="27">
        <f t="shared" si="0"/>
        <v>0</v>
      </c>
    </row>
    <row r="11" spans="1:8" x14ac:dyDescent="0.4">
      <c r="A11" s="18"/>
      <c r="B11" s="18"/>
      <c r="G11" s="18">
        <v>45574</v>
      </c>
      <c r="H11" s="27">
        <f t="shared" si="0"/>
        <v>0</v>
      </c>
    </row>
    <row r="12" spans="1:8" x14ac:dyDescent="0.4">
      <c r="A12" s="18"/>
      <c r="B12" s="18"/>
      <c r="G12" s="18">
        <v>45575</v>
      </c>
      <c r="H12" s="27">
        <f t="shared" si="0"/>
        <v>0</v>
      </c>
    </row>
    <row r="13" spans="1:8" x14ac:dyDescent="0.4">
      <c r="A13" s="18"/>
      <c r="B13" s="18"/>
      <c r="G13" s="18">
        <v>45576</v>
      </c>
      <c r="H13" s="27">
        <f t="shared" si="0"/>
        <v>0</v>
      </c>
    </row>
    <row r="14" spans="1:8" x14ac:dyDescent="0.4">
      <c r="A14" s="18"/>
      <c r="B14" s="18"/>
      <c r="G14" s="18">
        <v>45577</v>
      </c>
      <c r="H14" s="27">
        <f t="shared" si="0"/>
        <v>0</v>
      </c>
    </row>
    <row r="15" spans="1:8" x14ac:dyDescent="0.4">
      <c r="A15" s="18"/>
      <c r="B15" s="18"/>
      <c r="G15" s="18">
        <v>45578</v>
      </c>
      <c r="H15" s="27">
        <f t="shared" si="0"/>
        <v>0</v>
      </c>
    </row>
    <row r="16" spans="1:8" x14ac:dyDescent="0.4">
      <c r="A16" s="18"/>
      <c r="B16" s="18"/>
      <c r="G16" s="18">
        <v>45579</v>
      </c>
      <c r="H16" s="27">
        <f t="shared" si="0"/>
        <v>0</v>
      </c>
    </row>
    <row r="17" spans="1:8" x14ac:dyDescent="0.4">
      <c r="A17" s="18"/>
      <c r="B17" s="18"/>
      <c r="G17" s="18">
        <v>45580</v>
      </c>
      <c r="H17" s="27">
        <f t="shared" si="0"/>
        <v>0</v>
      </c>
    </row>
    <row r="18" spans="1:8" x14ac:dyDescent="0.4">
      <c r="A18" s="18"/>
      <c r="B18" s="18"/>
      <c r="G18" s="18">
        <v>45581</v>
      </c>
      <c r="H18" s="27">
        <f t="shared" si="0"/>
        <v>0</v>
      </c>
    </row>
    <row r="19" spans="1:8" x14ac:dyDescent="0.4">
      <c r="A19" s="18"/>
      <c r="B19" s="18"/>
      <c r="G19" s="18">
        <v>45582</v>
      </c>
      <c r="H19" s="27">
        <f t="shared" si="0"/>
        <v>0</v>
      </c>
    </row>
    <row r="20" spans="1:8" x14ac:dyDescent="0.4">
      <c r="A20" s="18"/>
      <c r="B20" s="18"/>
      <c r="G20" s="18">
        <v>45583</v>
      </c>
      <c r="H20" s="27">
        <f t="shared" si="0"/>
        <v>0</v>
      </c>
    </row>
    <row r="21" spans="1:8" x14ac:dyDescent="0.4">
      <c r="A21" s="18"/>
      <c r="B21" s="18"/>
      <c r="G21" s="18">
        <v>45584</v>
      </c>
      <c r="H21" s="27">
        <f t="shared" si="0"/>
        <v>0</v>
      </c>
    </row>
    <row r="22" spans="1:8" x14ac:dyDescent="0.4">
      <c r="A22" s="18"/>
      <c r="B22" s="18"/>
      <c r="G22" s="18">
        <v>45585</v>
      </c>
      <c r="H22" s="27">
        <f t="shared" si="0"/>
        <v>0</v>
      </c>
    </row>
    <row r="23" spans="1:8" x14ac:dyDescent="0.4">
      <c r="A23" s="18"/>
      <c r="B23" s="18"/>
      <c r="G23" s="18">
        <v>45586</v>
      </c>
      <c r="H23" s="27">
        <f t="shared" si="0"/>
        <v>0</v>
      </c>
    </row>
    <row r="24" spans="1:8" x14ac:dyDescent="0.4">
      <c r="A24" s="18"/>
      <c r="B24" s="18"/>
      <c r="G24" s="18">
        <v>45587</v>
      </c>
      <c r="H24" s="27">
        <f t="shared" si="0"/>
        <v>0</v>
      </c>
    </row>
    <row r="25" spans="1:8" x14ac:dyDescent="0.4">
      <c r="A25" s="18"/>
      <c r="B25" s="18"/>
      <c r="G25" s="18">
        <v>45588</v>
      </c>
      <c r="H25" s="27">
        <f t="shared" si="0"/>
        <v>0</v>
      </c>
    </row>
    <row r="26" spans="1:8" x14ac:dyDescent="0.4">
      <c r="A26" s="18"/>
      <c r="B26" s="18"/>
      <c r="G26" s="18">
        <v>45589</v>
      </c>
      <c r="H26" s="27">
        <f t="shared" si="0"/>
        <v>0</v>
      </c>
    </row>
    <row r="27" spans="1:8" x14ac:dyDescent="0.4">
      <c r="A27" s="18"/>
      <c r="B27" s="18"/>
      <c r="G27" s="18">
        <v>45590</v>
      </c>
      <c r="H27" s="27">
        <f t="shared" si="0"/>
        <v>0</v>
      </c>
    </row>
    <row r="28" spans="1:8" x14ac:dyDescent="0.4">
      <c r="A28" s="18"/>
      <c r="B28" s="18"/>
      <c r="G28" s="18">
        <v>45591</v>
      </c>
      <c r="H28" s="27">
        <f t="shared" si="0"/>
        <v>0</v>
      </c>
    </row>
    <row r="29" spans="1:8" x14ac:dyDescent="0.4">
      <c r="A29" s="18"/>
      <c r="B29" s="18"/>
      <c r="G29" s="18">
        <v>45592</v>
      </c>
      <c r="H29" s="27">
        <f t="shared" si="0"/>
        <v>0</v>
      </c>
    </row>
    <row r="30" spans="1:8" x14ac:dyDescent="0.4">
      <c r="A30" s="18"/>
      <c r="B30" s="18"/>
      <c r="G30" s="18">
        <v>45593</v>
      </c>
      <c r="H30" s="27">
        <f t="shared" si="0"/>
        <v>0</v>
      </c>
    </row>
    <row r="31" spans="1:8" x14ac:dyDescent="0.4">
      <c r="A31" s="18"/>
      <c r="B31" s="18"/>
      <c r="G31" s="18">
        <v>45594</v>
      </c>
      <c r="H31" s="27">
        <f t="shared" si="0"/>
        <v>0</v>
      </c>
    </row>
    <row r="32" spans="1:8" x14ac:dyDescent="0.4">
      <c r="A32" s="18"/>
      <c r="B32" s="18"/>
      <c r="G32" s="18">
        <v>45595</v>
      </c>
      <c r="H32" s="27">
        <f t="shared" si="0"/>
        <v>0</v>
      </c>
    </row>
    <row r="33" spans="1:7" x14ac:dyDescent="0.4">
      <c r="A33" s="18"/>
      <c r="B33" s="18"/>
      <c r="G33" s="18"/>
    </row>
    <row r="34" spans="1:7" x14ac:dyDescent="0.4">
      <c r="A34" s="18"/>
      <c r="B34" s="18"/>
      <c r="G34" s="18"/>
    </row>
    <row r="35" spans="1:7" x14ac:dyDescent="0.4">
      <c r="A35" s="18"/>
      <c r="B35" s="18"/>
      <c r="G35" s="18"/>
    </row>
    <row r="36" spans="1:7" x14ac:dyDescent="0.4">
      <c r="A36" s="18"/>
      <c r="B36" s="18"/>
      <c r="G36" s="18"/>
    </row>
    <row r="37" spans="1:7" x14ac:dyDescent="0.4">
      <c r="A37" s="18"/>
      <c r="B37" s="18"/>
      <c r="G37" s="18"/>
    </row>
    <row r="38" spans="1:7" x14ac:dyDescent="0.4">
      <c r="A38" s="18"/>
      <c r="B38" s="18"/>
      <c r="G38" s="18"/>
    </row>
    <row r="39" spans="1:7" x14ac:dyDescent="0.4">
      <c r="A39" s="18"/>
      <c r="B39" s="18"/>
      <c r="G39" s="18"/>
    </row>
    <row r="40" spans="1:7" x14ac:dyDescent="0.4">
      <c r="A40" s="18"/>
      <c r="B40" s="18"/>
      <c r="G40" s="18"/>
    </row>
    <row r="41" spans="1:7" x14ac:dyDescent="0.4">
      <c r="A41" s="18"/>
      <c r="B41" s="18"/>
      <c r="G41" s="18"/>
    </row>
    <row r="42" spans="1:7" x14ac:dyDescent="0.4">
      <c r="A42" s="18"/>
      <c r="B42" s="18"/>
      <c r="G42" s="18"/>
    </row>
    <row r="43" spans="1:7" x14ac:dyDescent="0.4">
      <c r="A43" s="18"/>
      <c r="B43" s="18"/>
      <c r="G43" s="18"/>
    </row>
    <row r="44" spans="1:7" x14ac:dyDescent="0.4">
      <c r="A44" s="18"/>
      <c r="B44" s="18"/>
      <c r="G44" s="18"/>
    </row>
    <row r="45" spans="1:7" x14ac:dyDescent="0.4">
      <c r="A45" s="18"/>
      <c r="B45" s="18"/>
      <c r="G45" s="18"/>
    </row>
    <row r="46" spans="1:7" x14ac:dyDescent="0.4">
      <c r="A46" s="18"/>
      <c r="B46" s="18"/>
      <c r="G46" s="18"/>
    </row>
    <row r="47" spans="1:7" x14ac:dyDescent="0.4">
      <c r="A47" s="18"/>
      <c r="B47" s="18"/>
      <c r="G47" s="18"/>
    </row>
    <row r="48" spans="1:7" x14ac:dyDescent="0.4">
      <c r="A48" s="18"/>
      <c r="B48" s="18"/>
      <c r="G48" s="18"/>
    </row>
    <row r="49" spans="1:7" x14ac:dyDescent="0.4">
      <c r="A49" s="18"/>
      <c r="B49" s="18"/>
      <c r="G49" s="18"/>
    </row>
    <row r="50" spans="1:7" x14ac:dyDescent="0.4">
      <c r="A50" s="18"/>
      <c r="B50" s="18"/>
      <c r="G50" s="18"/>
    </row>
    <row r="51" spans="1:7" x14ac:dyDescent="0.4">
      <c r="A51" s="18"/>
      <c r="B51" s="18"/>
      <c r="G51" s="18"/>
    </row>
    <row r="52" spans="1:7" x14ac:dyDescent="0.4">
      <c r="A52" s="18"/>
      <c r="B52" s="18"/>
      <c r="G52" s="18"/>
    </row>
    <row r="53" spans="1:7" x14ac:dyDescent="0.4">
      <c r="A53" s="18"/>
      <c r="B53" s="18"/>
      <c r="G53" s="18"/>
    </row>
    <row r="54" spans="1:7" x14ac:dyDescent="0.4">
      <c r="A54" s="18"/>
      <c r="B54" s="18"/>
      <c r="G54" s="18"/>
    </row>
    <row r="55" spans="1:7" x14ac:dyDescent="0.4">
      <c r="A55" s="18"/>
      <c r="B55" s="18"/>
      <c r="G55" s="18"/>
    </row>
    <row r="56" spans="1:7" x14ac:dyDescent="0.4">
      <c r="A56" s="18"/>
      <c r="B56" s="18"/>
    </row>
    <row r="57" spans="1:7" x14ac:dyDescent="0.4">
      <c r="A57" s="18"/>
      <c r="B57" s="18"/>
    </row>
    <row r="58" spans="1:7" x14ac:dyDescent="0.4">
      <c r="A58" s="18"/>
      <c r="B58" s="18"/>
    </row>
    <row r="59" spans="1:7" x14ac:dyDescent="0.4">
      <c r="A59" s="18"/>
      <c r="B59" s="18"/>
    </row>
    <row r="60" spans="1:7" x14ac:dyDescent="0.4">
      <c r="A60" s="18"/>
      <c r="B60" s="18"/>
    </row>
    <row r="61" spans="1:7" x14ac:dyDescent="0.4">
      <c r="A61" s="18"/>
      <c r="B61" s="18"/>
    </row>
    <row r="62" spans="1:7" x14ac:dyDescent="0.4">
      <c r="A62" s="18"/>
      <c r="B62" s="18"/>
    </row>
    <row r="63" spans="1:7" x14ac:dyDescent="0.4">
      <c r="A63" s="18"/>
      <c r="B63" s="18"/>
    </row>
    <row r="64" spans="1:7" x14ac:dyDescent="0.4">
      <c r="A64" s="18"/>
      <c r="B64" s="18"/>
    </row>
    <row r="65" spans="1:2" x14ac:dyDescent="0.4">
      <c r="A65" s="18"/>
      <c r="B65" s="18"/>
    </row>
    <row r="66" spans="1:2" x14ac:dyDescent="0.4">
      <c r="A66" s="18"/>
      <c r="B66" s="18"/>
    </row>
    <row r="67" spans="1:2" x14ac:dyDescent="0.4">
      <c r="A67" s="18"/>
      <c r="B67" s="18"/>
    </row>
    <row r="68" spans="1:2" x14ac:dyDescent="0.4">
      <c r="A68" s="18"/>
      <c r="B68" s="18"/>
    </row>
    <row r="69" spans="1:2" x14ac:dyDescent="0.4">
      <c r="A69" s="18"/>
      <c r="B69" s="18"/>
    </row>
    <row r="70" spans="1:2" x14ac:dyDescent="0.4">
      <c r="A70" s="18"/>
      <c r="B70" s="18"/>
    </row>
    <row r="71" spans="1:2" x14ac:dyDescent="0.4">
      <c r="A71" s="18"/>
      <c r="B71" s="18"/>
    </row>
    <row r="72" spans="1:2" x14ac:dyDescent="0.4">
      <c r="A72" s="18"/>
      <c r="B72" s="18"/>
    </row>
    <row r="73" spans="1:2" x14ac:dyDescent="0.4">
      <c r="A73" s="18"/>
      <c r="B73" s="18"/>
    </row>
    <row r="74" spans="1:2" x14ac:dyDescent="0.4">
      <c r="A74" s="18"/>
      <c r="B74" s="18"/>
    </row>
    <row r="75" spans="1:2" x14ac:dyDescent="0.4">
      <c r="A75" s="18"/>
      <c r="B75" s="18"/>
    </row>
    <row r="76" spans="1:2" x14ac:dyDescent="0.4">
      <c r="A76" s="18"/>
      <c r="B76" s="18"/>
    </row>
    <row r="77" spans="1:2" x14ac:dyDescent="0.4">
      <c r="A77" s="18"/>
      <c r="B77" s="18"/>
    </row>
    <row r="78" spans="1:2" x14ac:dyDescent="0.4">
      <c r="A78" s="18"/>
      <c r="B78" s="18"/>
    </row>
    <row r="79" spans="1:2" x14ac:dyDescent="0.4">
      <c r="A79" s="18"/>
      <c r="B79" s="18"/>
    </row>
    <row r="80" spans="1:2" x14ac:dyDescent="0.4">
      <c r="A80" s="18"/>
      <c r="B80" s="18"/>
    </row>
    <row r="81" spans="1:2" x14ac:dyDescent="0.4">
      <c r="A81" s="18"/>
      <c r="B81" s="18"/>
    </row>
    <row r="82" spans="1:2" x14ac:dyDescent="0.4">
      <c r="A82" s="18"/>
      <c r="B82" s="18"/>
    </row>
    <row r="83" spans="1:2" x14ac:dyDescent="0.4">
      <c r="A83" s="18"/>
      <c r="B83" s="18"/>
    </row>
    <row r="84" spans="1:2" x14ac:dyDescent="0.4">
      <c r="A84" s="18"/>
      <c r="B84" s="18"/>
    </row>
    <row r="85" spans="1:2" x14ac:dyDescent="0.4">
      <c r="A85" s="18"/>
      <c r="B85" s="18"/>
    </row>
    <row r="86" spans="1:2" x14ac:dyDescent="0.4">
      <c r="A86" s="18"/>
      <c r="B86" s="18"/>
    </row>
  </sheetData>
  <autoFilter ref="A2:E86" xr:uid="{FD3B806E-D302-4131-9E0A-A4E2050904DB}"/>
  <phoneticPr fontI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60771-070C-4B29-90E9-D4DB00ADD36F}">
  <dimension ref="A1:H77"/>
  <sheetViews>
    <sheetView workbookViewId="0">
      <pane ySplit="2" topLeftCell="A3" activePane="bottomLeft" state="frozen"/>
      <selection activeCell="E30" sqref="E30"/>
      <selection pane="bottomLeft" activeCell="D14" sqref="D14"/>
    </sheetView>
  </sheetViews>
  <sheetFormatPr defaultRowHeight="18.75" x14ac:dyDescent="0.4"/>
  <cols>
    <col min="2" max="2" width="4.875" bestFit="1" customWidth="1"/>
    <col min="3" max="3" width="9" style="27"/>
    <col min="4" max="4" width="18.25" bestFit="1" customWidth="1"/>
    <col min="5" max="5" width="35.875" style="19" bestFit="1" customWidth="1"/>
    <col min="8" max="8" width="9" style="27"/>
  </cols>
  <sheetData>
    <row r="1" spans="1:8" x14ac:dyDescent="0.4">
      <c r="C1" s="27">
        <f>SUM(C3:C171)</f>
        <v>271587</v>
      </c>
      <c r="H1" s="27">
        <f>SUM(H3:H173)</f>
        <v>271587</v>
      </c>
    </row>
    <row r="2" spans="1:8" x14ac:dyDescent="0.4">
      <c r="A2" s="20" t="s">
        <v>50</v>
      </c>
      <c r="B2" s="20" t="s">
        <v>55</v>
      </c>
      <c r="C2" s="28" t="s">
        <v>52</v>
      </c>
      <c r="D2" s="20" t="s">
        <v>51</v>
      </c>
      <c r="E2" s="21" t="s">
        <v>53</v>
      </c>
      <c r="G2" s="20" t="s">
        <v>50</v>
      </c>
      <c r="H2" s="28" t="s">
        <v>52</v>
      </c>
    </row>
    <row r="3" spans="1:8" x14ac:dyDescent="0.4">
      <c r="A3" s="18">
        <v>45597</v>
      </c>
      <c r="B3" s="18" t="s">
        <v>165</v>
      </c>
      <c r="C3" s="27">
        <v>100000</v>
      </c>
      <c r="D3" t="s">
        <v>97</v>
      </c>
      <c r="E3" s="19" t="s">
        <v>90</v>
      </c>
      <c r="G3" s="18">
        <v>45597</v>
      </c>
      <c r="H3" s="27">
        <f t="shared" ref="H3:H33" si="0">SUMIF($A$3:$A$219,$G3,$C$3:$C$219)</f>
        <v>271335</v>
      </c>
    </row>
    <row r="4" spans="1:8" x14ac:dyDescent="0.4">
      <c r="A4" s="18">
        <v>45597</v>
      </c>
      <c r="B4" s="18" t="s">
        <v>165</v>
      </c>
      <c r="C4" s="27">
        <v>150000</v>
      </c>
      <c r="D4" t="s">
        <v>42</v>
      </c>
      <c r="E4" t="s">
        <v>42</v>
      </c>
      <c r="G4" s="18">
        <v>45598</v>
      </c>
      <c r="H4" s="27">
        <f t="shared" si="0"/>
        <v>0</v>
      </c>
    </row>
    <row r="5" spans="1:8" x14ac:dyDescent="0.4">
      <c r="A5" s="18">
        <v>45597</v>
      </c>
      <c r="B5" s="18" t="s">
        <v>71</v>
      </c>
      <c r="C5" s="27">
        <f>4277</f>
        <v>4277</v>
      </c>
      <c r="D5" t="s">
        <v>58</v>
      </c>
      <c r="E5" s="19" t="s">
        <v>299</v>
      </c>
      <c r="G5" s="18">
        <v>45599</v>
      </c>
      <c r="H5" s="27">
        <f t="shared" si="0"/>
        <v>0</v>
      </c>
    </row>
    <row r="6" spans="1:8" x14ac:dyDescent="0.4">
      <c r="A6" s="18">
        <v>45597</v>
      </c>
      <c r="B6" s="18" t="s">
        <v>71</v>
      </c>
      <c r="C6" s="27">
        <v>4708</v>
      </c>
      <c r="D6" t="s">
        <v>21</v>
      </c>
      <c r="E6" s="19" t="s">
        <v>302</v>
      </c>
      <c r="G6" s="18">
        <v>45600</v>
      </c>
      <c r="H6" s="27">
        <f t="shared" si="0"/>
        <v>0</v>
      </c>
    </row>
    <row r="7" spans="1:8" x14ac:dyDescent="0.4">
      <c r="A7" s="18">
        <v>45597</v>
      </c>
      <c r="B7" s="18" t="s">
        <v>71</v>
      </c>
      <c r="C7" s="27">
        <v>3110</v>
      </c>
      <c r="D7" t="s">
        <v>25</v>
      </c>
      <c r="E7" s="19" t="s">
        <v>297</v>
      </c>
      <c r="G7" s="18">
        <v>45601</v>
      </c>
      <c r="H7" s="27">
        <f t="shared" si="0"/>
        <v>0</v>
      </c>
    </row>
    <row r="8" spans="1:8" x14ac:dyDescent="0.4">
      <c r="A8" s="18">
        <v>45597</v>
      </c>
      <c r="B8" s="18" t="s">
        <v>71</v>
      </c>
      <c r="C8" s="27">
        <v>3610</v>
      </c>
      <c r="D8" t="s">
        <v>25</v>
      </c>
      <c r="E8" s="19" t="s">
        <v>298</v>
      </c>
      <c r="G8" s="18">
        <v>45602</v>
      </c>
      <c r="H8" s="27">
        <f t="shared" si="0"/>
        <v>0</v>
      </c>
    </row>
    <row r="9" spans="1:8" x14ac:dyDescent="0.4">
      <c r="A9" s="18">
        <v>45597</v>
      </c>
      <c r="B9" s="18" t="s">
        <v>71</v>
      </c>
      <c r="C9" s="27">
        <v>360</v>
      </c>
      <c r="D9" t="s">
        <v>25</v>
      </c>
      <c r="E9" s="19" t="s">
        <v>301</v>
      </c>
      <c r="G9" s="18">
        <v>45603</v>
      </c>
      <c r="H9" s="27">
        <f t="shared" si="0"/>
        <v>0</v>
      </c>
    </row>
    <row r="10" spans="1:8" x14ac:dyDescent="0.4">
      <c r="A10" s="18">
        <v>45597</v>
      </c>
      <c r="B10" s="18" t="s">
        <v>71</v>
      </c>
      <c r="C10" s="27">
        <f>1800+3470</f>
        <v>5270</v>
      </c>
      <c r="D10" t="s">
        <v>25</v>
      </c>
      <c r="E10" s="19" t="s">
        <v>301</v>
      </c>
      <c r="G10" s="18">
        <v>45604</v>
      </c>
      <c r="H10" s="27">
        <f t="shared" si="0"/>
        <v>0</v>
      </c>
    </row>
    <row r="11" spans="1:8" x14ac:dyDescent="0.4">
      <c r="A11" s="18"/>
      <c r="B11" s="18"/>
      <c r="G11" s="18">
        <v>45605</v>
      </c>
      <c r="H11" s="27">
        <f t="shared" si="0"/>
        <v>0</v>
      </c>
    </row>
    <row r="12" spans="1:8" x14ac:dyDescent="0.4">
      <c r="A12" s="18"/>
      <c r="B12" s="18"/>
      <c r="G12" s="18">
        <v>45606</v>
      </c>
      <c r="H12" s="27">
        <f t="shared" si="0"/>
        <v>0</v>
      </c>
    </row>
    <row r="13" spans="1:8" x14ac:dyDescent="0.4">
      <c r="A13" s="18"/>
      <c r="B13" s="18"/>
      <c r="G13" s="18">
        <v>45607</v>
      </c>
      <c r="H13" s="27">
        <f t="shared" si="0"/>
        <v>0</v>
      </c>
    </row>
    <row r="14" spans="1:8" x14ac:dyDescent="0.4">
      <c r="A14" s="18"/>
      <c r="B14" s="18"/>
      <c r="G14" s="18">
        <v>45608</v>
      </c>
      <c r="H14" s="27">
        <f t="shared" si="0"/>
        <v>0</v>
      </c>
    </row>
    <row r="15" spans="1:8" x14ac:dyDescent="0.4">
      <c r="A15" s="18"/>
      <c r="B15" s="18"/>
      <c r="G15" s="18">
        <v>45609</v>
      </c>
      <c r="H15" s="27">
        <f t="shared" si="0"/>
        <v>0</v>
      </c>
    </row>
    <row r="16" spans="1:8" x14ac:dyDescent="0.4">
      <c r="A16" s="18"/>
      <c r="B16" s="18"/>
      <c r="G16" s="18">
        <v>45610</v>
      </c>
      <c r="H16" s="27">
        <f t="shared" si="0"/>
        <v>0</v>
      </c>
    </row>
    <row r="17" spans="1:8" x14ac:dyDescent="0.4">
      <c r="A17" s="18"/>
      <c r="B17" s="18"/>
      <c r="G17" s="18">
        <v>45611</v>
      </c>
      <c r="H17" s="27">
        <f t="shared" si="0"/>
        <v>0</v>
      </c>
    </row>
    <row r="18" spans="1:8" x14ac:dyDescent="0.4">
      <c r="A18" s="18"/>
      <c r="B18" s="18"/>
      <c r="G18" s="18">
        <v>45612</v>
      </c>
      <c r="H18" s="27">
        <f t="shared" si="0"/>
        <v>0</v>
      </c>
    </row>
    <row r="19" spans="1:8" x14ac:dyDescent="0.4">
      <c r="A19" s="18"/>
      <c r="B19" s="18"/>
      <c r="G19" s="18">
        <v>45613</v>
      </c>
      <c r="H19" s="27">
        <f t="shared" si="0"/>
        <v>0</v>
      </c>
    </row>
    <row r="20" spans="1:8" x14ac:dyDescent="0.4">
      <c r="A20" s="18"/>
      <c r="B20" s="18"/>
      <c r="G20" s="18">
        <v>45614</v>
      </c>
      <c r="H20" s="27">
        <f t="shared" si="0"/>
        <v>0</v>
      </c>
    </row>
    <row r="21" spans="1:8" x14ac:dyDescent="0.4">
      <c r="A21" s="18"/>
      <c r="B21" s="18"/>
      <c r="G21" s="18">
        <v>45615</v>
      </c>
      <c r="H21" s="27">
        <f t="shared" si="0"/>
        <v>0</v>
      </c>
    </row>
    <row r="22" spans="1:8" x14ac:dyDescent="0.4">
      <c r="A22" s="18"/>
      <c r="B22" s="18"/>
      <c r="G22" s="18">
        <v>45616</v>
      </c>
      <c r="H22" s="27">
        <f t="shared" si="0"/>
        <v>0</v>
      </c>
    </row>
    <row r="23" spans="1:8" x14ac:dyDescent="0.4">
      <c r="A23" s="18"/>
      <c r="B23" s="18"/>
      <c r="G23" s="18">
        <v>45617</v>
      </c>
      <c r="H23" s="27">
        <f t="shared" si="0"/>
        <v>0</v>
      </c>
    </row>
    <row r="24" spans="1:8" x14ac:dyDescent="0.4">
      <c r="A24" s="18"/>
      <c r="B24" s="18"/>
      <c r="G24" s="18">
        <v>45618</v>
      </c>
      <c r="H24" s="27">
        <f t="shared" si="0"/>
        <v>0</v>
      </c>
    </row>
    <row r="25" spans="1:8" x14ac:dyDescent="0.4">
      <c r="A25" s="18"/>
      <c r="B25" s="18"/>
      <c r="G25" s="18">
        <v>45619</v>
      </c>
      <c r="H25" s="27">
        <f t="shared" si="0"/>
        <v>0</v>
      </c>
    </row>
    <row r="26" spans="1:8" x14ac:dyDescent="0.4">
      <c r="A26" s="18"/>
      <c r="B26" s="18"/>
      <c r="G26" s="18">
        <v>45620</v>
      </c>
      <c r="H26" s="27">
        <f t="shared" si="0"/>
        <v>0</v>
      </c>
    </row>
    <row r="27" spans="1:8" x14ac:dyDescent="0.4">
      <c r="A27" s="18"/>
      <c r="B27" s="18"/>
      <c r="G27" s="18">
        <v>45621</v>
      </c>
      <c r="H27" s="27">
        <f t="shared" si="0"/>
        <v>0</v>
      </c>
    </row>
    <row r="28" spans="1:8" x14ac:dyDescent="0.4">
      <c r="A28" s="18"/>
      <c r="B28" s="18"/>
      <c r="G28" s="18">
        <v>45622</v>
      </c>
      <c r="H28" s="27">
        <f t="shared" si="0"/>
        <v>0</v>
      </c>
    </row>
    <row r="29" spans="1:8" x14ac:dyDescent="0.4">
      <c r="A29" s="18"/>
      <c r="B29" s="18"/>
      <c r="G29" s="18">
        <v>45623</v>
      </c>
      <c r="H29" s="27">
        <f t="shared" si="0"/>
        <v>0</v>
      </c>
    </row>
    <row r="30" spans="1:8" x14ac:dyDescent="0.4">
      <c r="A30" s="18"/>
      <c r="B30" s="18"/>
      <c r="G30" s="18">
        <v>45624</v>
      </c>
      <c r="H30" s="27">
        <f t="shared" si="0"/>
        <v>0</v>
      </c>
    </row>
    <row r="31" spans="1:8" x14ac:dyDescent="0.4">
      <c r="A31" s="18"/>
      <c r="B31" s="18"/>
      <c r="G31" s="18">
        <v>45625</v>
      </c>
      <c r="H31" s="27">
        <f t="shared" si="0"/>
        <v>0</v>
      </c>
    </row>
    <row r="32" spans="1:8" x14ac:dyDescent="0.4">
      <c r="A32" s="18"/>
      <c r="B32" s="18"/>
      <c r="G32" s="18">
        <v>45626</v>
      </c>
      <c r="H32" s="27">
        <f t="shared" si="0"/>
        <v>252</v>
      </c>
    </row>
    <row r="33" spans="1:8" x14ac:dyDescent="0.4">
      <c r="A33" s="18"/>
      <c r="B33" s="18"/>
      <c r="G33" s="18">
        <v>45627</v>
      </c>
      <c r="H33" s="27">
        <f t="shared" si="0"/>
        <v>0</v>
      </c>
    </row>
    <row r="34" spans="1:8" x14ac:dyDescent="0.4">
      <c r="A34" s="18"/>
      <c r="B34" s="18"/>
      <c r="G34" s="18"/>
    </row>
    <row r="35" spans="1:8" x14ac:dyDescent="0.4">
      <c r="A35" s="18"/>
      <c r="B35" s="18"/>
      <c r="G35" s="18"/>
    </row>
    <row r="36" spans="1:8" x14ac:dyDescent="0.4">
      <c r="A36" s="18"/>
      <c r="B36" s="18"/>
      <c r="G36" s="18"/>
    </row>
    <row r="37" spans="1:8" x14ac:dyDescent="0.4">
      <c r="A37" s="18"/>
      <c r="B37" s="18"/>
      <c r="G37" s="18"/>
    </row>
    <row r="38" spans="1:8" x14ac:dyDescent="0.4">
      <c r="A38" s="18"/>
      <c r="B38" s="18"/>
      <c r="G38" s="18"/>
    </row>
    <row r="39" spans="1:8" x14ac:dyDescent="0.4">
      <c r="A39" s="18"/>
      <c r="B39" s="18"/>
      <c r="G39" s="18"/>
    </row>
    <row r="40" spans="1:8" x14ac:dyDescent="0.4">
      <c r="A40" s="18"/>
      <c r="B40" s="18"/>
      <c r="G40" s="18"/>
    </row>
    <row r="41" spans="1:8" x14ac:dyDescent="0.4">
      <c r="A41" s="18"/>
      <c r="B41" s="18"/>
      <c r="G41" s="18"/>
    </row>
    <row r="42" spans="1:8" x14ac:dyDescent="0.4">
      <c r="A42" s="18"/>
      <c r="B42" s="18"/>
      <c r="G42" s="18"/>
    </row>
    <row r="43" spans="1:8" x14ac:dyDescent="0.4">
      <c r="A43" s="18"/>
      <c r="B43" s="18"/>
      <c r="G43" s="18"/>
    </row>
    <row r="44" spans="1:8" x14ac:dyDescent="0.4">
      <c r="A44" s="18"/>
      <c r="B44" s="18"/>
      <c r="E44" s="27"/>
      <c r="G44" s="18"/>
    </row>
    <row r="45" spans="1:8" x14ac:dyDescent="0.4">
      <c r="A45" s="18"/>
      <c r="B45" s="18"/>
      <c r="C45" s="17"/>
      <c r="G45" s="18"/>
    </row>
    <row r="46" spans="1:8" x14ac:dyDescent="0.4">
      <c r="A46" s="18"/>
      <c r="B46" s="18"/>
      <c r="C46" s="17"/>
      <c r="G46" s="18"/>
    </row>
    <row r="47" spans="1:8" x14ac:dyDescent="0.4">
      <c r="A47" s="18"/>
      <c r="B47" s="18"/>
      <c r="G47" s="18"/>
    </row>
    <row r="48" spans="1:8" x14ac:dyDescent="0.4">
      <c r="A48" s="18"/>
      <c r="B48" s="18"/>
      <c r="G48" s="18"/>
    </row>
    <row r="49" spans="1:7" x14ac:dyDescent="0.4">
      <c r="A49" s="18"/>
      <c r="B49" s="18"/>
      <c r="G49" s="18"/>
    </row>
    <row r="50" spans="1:7" x14ac:dyDescent="0.4">
      <c r="A50" s="18"/>
      <c r="B50" s="18"/>
      <c r="G50" s="18"/>
    </row>
    <row r="51" spans="1:7" x14ac:dyDescent="0.4">
      <c r="A51" s="18"/>
      <c r="B51" s="18"/>
      <c r="G51" s="18"/>
    </row>
    <row r="52" spans="1:7" x14ac:dyDescent="0.4">
      <c r="A52" s="18"/>
      <c r="B52" s="18"/>
      <c r="G52" s="18"/>
    </row>
    <row r="53" spans="1:7" x14ac:dyDescent="0.4">
      <c r="A53" s="18"/>
      <c r="B53" s="18"/>
      <c r="G53" s="18"/>
    </row>
    <row r="54" spans="1:7" x14ac:dyDescent="0.4">
      <c r="A54" s="18"/>
      <c r="B54" s="18"/>
      <c r="G54" s="18"/>
    </row>
    <row r="55" spans="1:7" x14ac:dyDescent="0.4">
      <c r="A55" s="18"/>
      <c r="B55" s="18"/>
      <c r="G55" s="18"/>
    </row>
    <row r="56" spans="1:7" x14ac:dyDescent="0.4">
      <c r="A56" s="18"/>
      <c r="B56" s="18"/>
      <c r="G56" s="18"/>
    </row>
    <row r="57" spans="1:7" x14ac:dyDescent="0.4">
      <c r="A57" s="18"/>
      <c r="B57" s="18"/>
      <c r="E57" s="27"/>
      <c r="G57" s="18"/>
    </row>
    <row r="58" spans="1:7" x14ac:dyDescent="0.4">
      <c r="A58" s="18"/>
      <c r="B58" s="18"/>
      <c r="G58" s="18"/>
    </row>
    <row r="59" spans="1:7" x14ac:dyDescent="0.4">
      <c r="A59" s="18"/>
      <c r="B59" s="18"/>
      <c r="G59" s="18"/>
    </row>
    <row r="60" spans="1:7" x14ac:dyDescent="0.4">
      <c r="A60" s="18"/>
      <c r="B60" s="18"/>
      <c r="G60" s="18"/>
    </row>
    <row r="61" spans="1:7" x14ac:dyDescent="0.4">
      <c r="A61" s="18"/>
      <c r="B61" s="18"/>
      <c r="G61" s="18"/>
    </row>
    <row r="62" spans="1:7" x14ac:dyDescent="0.4">
      <c r="A62" s="18"/>
      <c r="B62" s="18"/>
    </row>
    <row r="63" spans="1:7" x14ac:dyDescent="0.4">
      <c r="A63" s="18"/>
      <c r="B63" s="18"/>
    </row>
    <row r="64" spans="1:7" x14ac:dyDescent="0.4">
      <c r="A64" s="18"/>
      <c r="B64" s="18"/>
    </row>
    <row r="65" spans="1:5" x14ac:dyDescent="0.4">
      <c r="A65" s="18"/>
      <c r="B65" s="18"/>
    </row>
    <row r="66" spans="1:5" x14ac:dyDescent="0.4">
      <c r="A66" s="18"/>
      <c r="B66" s="18"/>
    </row>
    <row r="67" spans="1:5" x14ac:dyDescent="0.4">
      <c r="A67" s="18"/>
      <c r="B67" s="18"/>
    </row>
    <row r="68" spans="1:5" x14ac:dyDescent="0.4">
      <c r="A68" s="18"/>
      <c r="B68" s="18"/>
    </row>
    <row r="69" spans="1:5" x14ac:dyDescent="0.4">
      <c r="A69" s="18"/>
      <c r="B69" s="18"/>
    </row>
    <row r="70" spans="1:5" x14ac:dyDescent="0.4">
      <c r="A70" s="18"/>
      <c r="B70" s="18"/>
    </row>
    <row r="71" spans="1:5" x14ac:dyDescent="0.4">
      <c r="A71" s="18"/>
      <c r="B71" s="18"/>
    </row>
    <row r="72" spans="1:5" x14ac:dyDescent="0.4">
      <c r="A72" s="18"/>
      <c r="B72" s="18"/>
    </row>
    <row r="73" spans="1:5" x14ac:dyDescent="0.4">
      <c r="A73" s="18"/>
      <c r="B73" s="18"/>
    </row>
    <row r="74" spans="1:5" x14ac:dyDescent="0.4">
      <c r="A74" s="18"/>
      <c r="B74" s="18"/>
    </row>
    <row r="75" spans="1:5" x14ac:dyDescent="0.4">
      <c r="A75" s="18"/>
      <c r="B75" s="18"/>
    </row>
    <row r="76" spans="1:5" x14ac:dyDescent="0.4">
      <c r="A76" s="18"/>
      <c r="B76" s="18"/>
    </row>
    <row r="77" spans="1:5" x14ac:dyDescent="0.4">
      <c r="A77" s="18">
        <v>45626</v>
      </c>
      <c r="B77" s="18" t="s">
        <v>72</v>
      </c>
      <c r="C77" s="27">
        <v>252</v>
      </c>
      <c r="D77" t="s">
        <v>48</v>
      </c>
      <c r="E77" s="19" t="s">
        <v>176</v>
      </c>
    </row>
  </sheetData>
  <autoFilter ref="A2:E77" xr:uid="{70560771-070C-4B29-90E9-D4DB00ADD36F}"/>
  <phoneticPr fontId="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0D0BD-941D-4BB9-8E05-B7E3F1DA121A}">
  <dimension ref="A1:H75"/>
  <sheetViews>
    <sheetView workbookViewId="0">
      <pane ySplit="2" topLeftCell="A3" activePane="bottomLeft" state="frozen"/>
      <selection activeCell="E30" sqref="E30"/>
      <selection pane="bottomLeft" activeCell="D14" sqref="D14"/>
    </sheetView>
  </sheetViews>
  <sheetFormatPr defaultRowHeight="18.75" x14ac:dyDescent="0.4"/>
  <cols>
    <col min="1" max="1" width="9.25" bestFit="1" customWidth="1"/>
    <col min="2" max="2" width="4.875" bestFit="1" customWidth="1"/>
    <col min="3" max="3" width="9" style="27"/>
    <col min="4" max="4" width="18.25" bestFit="1" customWidth="1"/>
    <col min="5" max="5" width="35.875" style="19" bestFit="1" customWidth="1"/>
    <col min="8" max="8" width="9" style="27"/>
  </cols>
  <sheetData>
    <row r="1" spans="1:8" x14ac:dyDescent="0.4">
      <c r="C1" s="27">
        <f>SUM(C3:C160)</f>
        <v>271335</v>
      </c>
      <c r="H1" s="27">
        <f>SUM(H3:H163)</f>
        <v>271335</v>
      </c>
    </row>
    <row r="2" spans="1:8" x14ac:dyDescent="0.4">
      <c r="A2" s="20" t="s">
        <v>50</v>
      </c>
      <c r="B2" s="20" t="s">
        <v>55</v>
      </c>
      <c r="C2" s="28" t="s">
        <v>52</v>
      </c>
      <c r="D2" s="20" t="s">
        <v>51</v>
      </c>
      <c r="E2" s="21" t="s">
        <v>53</v>
      </c>
      <c r="G2" s="20" t="s">
        <v>50</v>
      </c>
      <c r="H2" s="28" t="s">
        <v>52</v>
      </c>
    </row>
    <row r="3" spans="1:8" x14ac:dyDescent="0.4">
      <c r="A3" s="18">
        <v>45627</v>
      </c>
      <c r="B3" s="18" t="s">
        <v>73</v>
      </c>
      <c r="C3" s="27">
        <v>100000</v>
      </c>
      <c r="D3" t="s">
        <v>97</v>
      </c>
      <c r="E3" s="19" t="s">
        <v>90</v>
      </c>
      <c r="G3" s="18">
        <v>45627</v>
      </c>
      <c r="H3" s="27">
        <f t="shared" ref="H3:H33" si="0">SUMIF($A$3:$A$208,$G3,$C$3:$C$208)</f>
        <v>271335</v>
      </c>
    </row>
    <row r="4" spans="1:8" x14ac:dyDescent="0.4">
      <c r="A4" s="18">
        <v>45627</v>
      </c>
      <c r="B4" s="18" t="s">
        <v>73</v>
      </c>
      <c r="C4" s="27">
        <v>150000</v>
      </c>
      <c r="D4" t="s">
        <v>42</v>
      </c>
      <c r="E4" t="s">
        <v>42</v>
      </c>
      <c r="G4" s="18">
        <v>45628</v>
      </c>
      <c r="H4" s="27">
        <f t="shared" si="0"/>
        <v>0</v>
      </c>
    </row>
    <row r="5" spans="1:8" x14ac:dyDescent="0.4">
      <c r="A5" s="18">
        <v>45627</v>
      </c>
      <c r="B5" s="18" t="s">
        <v>73</v>
      </c>
      <c r="C5" s="27">
        <f>4277</f>
        <v>4277</v>
      </c>
      <c r="D5" t="s">
        <v>58</v>
      </c>
      <c r="E5" s="19" t="s">
        <v>299</v>
      </c>
      <c r="G5" s="18">
        <v>45629</v>
      </c>
      <c r="H5" s="27">
        <f t="shared" si="0"/>
        <v>0</v>
      </c>
    </row>
    <row r="6" spans="1:8" x14ac:dyDescent="0.4">
      <c r="A6" s="18">
        <v>45627</v>
      </c>
      <c r="B6" s="18" t="s">
        <v>73</v>
      </c>
      <c r="C6" s="27">
        <v>4708</v>
      </c>
      <c r="D6" t="s">
        <v>21</v>
      </c>
      <c r="E6" s="19" t="s">
        <v>302</v>
      </c>
      <c r="G6" s="18">
        <v>45630</v>
      </c>
      <c r="H6" s="27">
        <f t="shared" si="0"/>
        <v>0</v>
      </c>
    </row>
    <row r="7" spans="1:8" x14ac:dyDescent="0.4">
      <c r="A7" s="18">
        <v>45627</v>
      </c>
      <c r="B7" s="18" t="s">
        <v>73</v>
      </c>
      <c r="C7" s="27">
        <v>3110</v>
      </c>
      <c r="D7" t="s">
        <v>25</v>
      </c>
      <c r="E7" s="19" t="s">
        <v>297</v>
      </c>
      <c r="G7" s="18">
        <v>45631</v>
      </c>
      <c r="H7" s="27">
        <f t="shared" si="0"/>
        <v>0</v>
      </c>
    </row>
    <row r="8" spans="1:8" x14ac:dyDescent="0.4">
      <c r="A8" s="18">
        <v>45627</v>
      </c>
      <c r="B8" s="18" t="s">
        <v>73</v>
      </c>
      <c r="C8" s="27">
        <v>3610</v>
      </c>
      <c r="D8" t="s">
        <v>25</v>
      </c>
      <c r="E8" s="19" t="s">
        <v>298</v>
      </c>
      <c r="G8" s="18">
        <v>45632</v>
      </c>
      <c r="H8" s="27">
        <f t="shared" si="0"/>
        <v>0</v>
      </c>
    </row>
    <row r="9" spans="1:8" x14ac:dyDescent="0.4">
      <c r="A9" s="18">
        <v>45627</v>
      </c>
      <c r="B9" s="18" t="s">
        <v>73</v>
      </c>
      <c r="C9" s="27">
        <v>360</v>
      </c>
      <c r="D9" t="s">
        <v>25</v>
      </c>
      <c r="E9" s="19" t="s">
        <v>301</v>
      </c>
      <c r="G9" s="18">
        <v>45633</v>
      </c>
      <c r="H9" s="27">
        <f t="shared" si="0"/>
        <v>0</v>
      </c>
    </row>
    <row r="10" spans="1:8" x14ac:dyDescent="0.4">
      <c r="A10" s="18">
        <v>45627</v>
      </c>
      <c r="B10" s="18" t="s">
        <v>73</v>
      </c>
      <c r="C10" s="27">
        <f>1800+3470</f>
        <v>5270</v>
      </c>
      <c r="D10" t="s">
        <v>25</v>
      </c>
      <c r="E10" s="19" t="s">
        <v>301</v>
      </c>
      <c r="G10" s="18">
        <v>45634</v>
      </c>
      <c r="H10" s="27">
        <f t="shared" si="0"/>
        <v>0</v>
      </c>
    </row>
    <row r="11" spans="1:8" x14ac:dyDescent="0.4">
      <c r="A11" s="18"/>
      <c r="B11" s="18"/>
      <c r="G11" s="18">
        <v>45635</v>
      </c>
      <c r="H11" s="27">
        <f t="shared" si="0"/>
        <v>0</v>
      </c>
    </row>
    <row r="12" spans="1:8" x14ac:dyDescent="0.4">
      <c r="A12" s="18"/>
      <c r="B12" s="18"/>
      <c r="G12" s="18">
        <v>45636</v>
      </c>
      <c r="H12" s="27">
        <f t="shared" si="0"/>
        <v>0</v>
      </c>
    </row>
    <row r="13" spans="1:8" x14ac:dyDescent="0.4">
      <c r="A13" s="18"/>
      <c r="B13" s="18"/>
      <c r="G13" s="18">
        <v>45637</v>
      </c>
      <c r="H13" s="27">
        <f t="shared" si="0"/>
        <v>0</v>
      </c>
    </row>
    <row r="14" spans="1:8" x14ac:dyDescent="0.4">
      <c r="A14" s="18"/>
      <c r="B14" s="18"/>
      <c r="G14" s="18">
        <v>45638</v>
      </c>
      <c r="H14" s="27">
        <f t="shared" si="0"/>
        <v>0</v>
      </c>
    </row>
    <row r="15" spans="1:8" x14ac:dyDescent="0.4">
      <c r="A15" s="18"/>
      <c r="B15" s="18"/>
      <c r="G15" s="18">
        <v>45639</v>
      </c>
      <c r="H15" s="27">
        <f t="shared" si="0"/>
        <v>0</v>
      </c>
    </row>
    <row r="16" spans="1:8" x14ac:dyDescent="0.4">
      <c r="A16" s="18"/>
      <c r="B16" s="18"/>
      <c r="G16" s="18">
        <v>45640</v>
      </c>
      <c r="H16" s="27">
        <f t="shared" si="0"/>
        <v>0</v>
      </c>
    </row>
    <row r="17" spans="1:8" x14ac:dyDescent="0.4">
      <c r="A17" s="18"/>
      <c r="B17" s="18"/>
      <c r="G17" s="18">
        <v>45641</v>
      </c>
      <c r="H17" s="27">
        <f t="shared" si="0"/>
        <v>0</v>
      </c>
    </row>
    <row r="18" spans="1:8" x14ac:dyDescent="0.4">
      <c r="A18" s="18"/>
      <c r="B18" s="18"/>
      <c r="G18" s="18">
        <v>45642</v>
      </c>
      <c r="H18" s="27">
        <f t="shared" si="0"/>
        <v>0</v>
      </c>
    </row>
    <row r="19" spans="1:8" x14ac:dyDescent="0.4">
      <c r="A19" s="18"/>
      <c r="B19" s="18"/>
      <c r="G19" s="18">
        <v>45643</v>
      </c>
      <c r="H19" s="27">
        <f t="shared" si="0"/>
        <v>0</v>
      </c>
    </row>
    <row r="20" spans="1:8" x14ac:dyDescent="0.4">
      <c r="A20" s="18"/>
      <c r="B20" s="18"/>
      <c r="G20" s="18">
        <v>45644</v>
      </c>
      <c r="H20" s="27">
        <f t="shared" si="0"/>
        <v>0</v>
      </c>
    </row>
    <row r="21" spans="1:8" x14ac:dyDescent="0.4">
      <c r="A21" s="18"/>
      <c r="B21" s="18"/>
      <c r="G21" s="18">
        <v>45645</v>
      </c>
      <c r="H21" s="27">
        <f t="shared" si="0"/>
        <v>0</v>
      </c>
    </row>
    <row r="22" spans="1:8" x14ac:dyDescent="0.4">
      <c r="A22" s="18"/>
      <c r="B22" s="18"/>
      <c r="G22" s="18">
        <v>45646</v>
      </c>
      <c r="H22" s="27">
        <f t="shared" si="0"/>
        <v>0</v>
      </c>
    </row>
    <row r="23" spans="1:8" x14ac:dyDescent="0.4">
      <c r="A23" s="18"/>
      <c r="B23" s="18"/>
      <c r="G23" s="18">
        <v>45647</v>
      </c>
      <c r="H23" s="27">
        <f t="shared" si="0"/>
        <v>0</v>
      </c>
    </row>
    <row r="24" spans="1:8" x14ac:dyDescent="0.4">
      <c r="A24" s="18"/>
      <c r="B24" s="18"/>
      <c r="G24" s="18">
        <v>45648</v>
      </c>
      <c r="H24" s="27">
        <f t="shared" si="0"/>
        <v>0</v>
      </c>
    </row>
    <row r="25" spans="1:8" x14ac:dyDescent="0.4">
      <c r="A25" s="18"/>
      <c r="B25" s="18"/>
      <c r="G25" s="18">
        <v>45649</v>
      </c>
      <c r="H25" s="27">
        <f t="shared" si="0"/>
        <v>0</v>
      </c>
    </row>
    <row r="26" spans="1:8" x14ac:dyDescent="0.4">
      <c r="A26" s="18"/>
      <c r="B26" s="18"/>
      <c r="G26" s="18">
        <v>45650</v>
      </c>
      <c r="H26" s="27">
        <f t="shared" si="0"/>
        <v>0</v>
      </c>
    </row>
    <row r="27" spans="1:8" x14ac:dyDescent="0.4">
      <c r="A27" s="18"/>
      <c r="B27" s="18"/>
      <c r="G27" s="18">
        <v>45651</v>
      </c>
      <c r="H27" s="27">
        <f t="shared" si="0"/>
        <v>0</v>
      </c>
    </row>
    <row r="28" spans="1:8" x14ac:dyDescent="0.4">
      <c r="A28" s="18"/>
      <c r="B28" s="18"/>
      <c r="G28" s="18">
        <v>45652</v>
      </c>
      <c r="H28" s="27">
        <f t="shared" si="0"/>
        <v>0</v>
      </c>
    </row>
    <row r="29" spans="1:8" x14ac:dyDescent="0.4">
      <c r="A29" s="18"/>
      <c r="B29" s="18"/>
      <c r="G29" s="18">
        <v>45653</v>
      </c>
      <c r="H29" s="27">
        <f t="shared" si="0"/>
        <v>0</v>
      </c>
    </row>
    <row r="30" spans="1:8" x14ac:dyDescent="0.4">
      <c r="A30" s="18"/>
      <c r="B30" s="18"/>
      <c r="G30" s="18">
        <v>45654</v>
      </c>
      <c r="H30" s="27">
        <f t="shared" si="0"/>
        <v>0</v>
      </c>
    </row>
    <row r="31" spans="1:8" x14ac:dyDescent="0.4">
      <c r="A31" s="18"/>
      <c r="B31" s="18"/>
      <c r="G31" s="18">
        <v>45655</v>
      </c>
      <c r="H31" s="27">
        <f t="shared" si="0"/>
        <v>0</v>
      </c>
    </row>
    <row r="32" spans="1:8" x14ac:dyDescent="0.4">
      <c r="A32" s="18"/>
      <c r="B32" s="18"/>
      <c r="G32" s="18">
        <v>45656</v>
      </c>
      <c r="H32" s="27">
        <f t="shared" si="0"/>
        <v>0</v>
      </c>
    </row>
    <row r="33" spans="1:8" x14ac:dyDescent="0.4">
      <c r="A33" s="18"/>
      <c r="B33" s="18"/>
      <c r="G33" s="18">
        <v>45657</v>
      </c>
      <c r="H33" s="27">
        <f t="shared" si="0"/>
        <v>0</v>
      </c>
    </row>
    <row r="34" spans="1:8" x14ac:dyDescent="0.4">
      <c r="A34" s="18"/>
      <c r="B34" s="18"/>
      <c r="G34" s="18"/>
    </row>
    <row r="35" spans="1:8" x14ac:dyDescent="0.4">
      <c r="A35" s="18"/>
      <c r="B35" s="18"/>
      <c r="G35" s="18"/>
    </row>
    <row r="36" spans="1:8" x14ac:dyDescent="0.4">
      <c r="A36" s="18"/>
      <c r="B36" s="18"/>
      <c r="G36" s="18"/>
    </row>
    <row r="37" spans="1:8" x14ac:dyDescent="0.4">
      <c r="A37" s="18"/>
      <c r="B37" s="18"/>
      <c r="G37" s="18"/>
    </row>
    <row r="38" spans="1:8" x14ac:dyDescent="0.4">
      <c r="A38" s="18"/>
      <c r="B38" s="18"/>
      <c r="G38" s="18"/>
    </row>
    <row r="39" spans="1:8" x14ac:dyDescent="0.4">
      <c r="A39" s="18"/>
      <c r="B39" s="18"/>
      <c r="G39" s="18"/>
    </row>
    <row r="40" spans="1:8" x14ac:dyDescent="0.4">
      <c r="A40" s="18"/>
      <c r="B40" s="18"/>
      <c r="G40" s="18"/>
    </row>
    <row r="41" spans="1:8" x14ac:dyDescent="0.4">
      <c r="A41" s="18"/>
      <c r="B41" s="18"/>
      <c r="G41" s="18"/>
    </row>
    <row r="42" spans="1:8" x14ac:dyDescent="0.4">
      <c r="A42" s="18"/>
      <c r="B42" s="18"/>
      <c r="G42" s="18"/>
    </row>
    <row r="43" spans="1:8" x14ac:dyDescent="0.4">
      <c r="A43" s="18"/>
      <c r="B43" s="18"/>
      <c r="G43" s="18"/>
    </row>
    <row r="44" spans="1:8" x14ac:dyDescent="0.4">
      <c r="A44" s="18"/>
      <c r="B44" s="18"/>
      <c r="G44" s="18"/>
    </row>
    <row r="45" spans="1:8" x14ac:dyDescent="0.4">
      <c r="A45" s="18"/>
      <c r="B45" s="18"/>
      <c r="G45" s="18"/>
    </row>
    <row r="46" spans="1:8" x14ac:dyDescent="0.4">
      <c r="A46" s="18"/>
      <c r="B46" s="18"/>
      <c r="G46" s="18"/>
    </row>
    <row r="47" spans="1:8" x14ac:dyDescent="0.4">
      <c r="A47" s="18"/>
      <c r="B47" s="18"/>
      <c r="G47" s="18"/>
    </row>
    <row r="48" spans="1:8" x14ac:dyDescent="0.4">
      <c r="A48" s="18"/>
      <c r="B48" s="18"/>
      <c r="G48" s="18"/>
    </row>
    <row r="49" spans="1:7" x14ac:dyDescent="0.4">
      <c r="A49" s="18"/>
      <c r="B49" s="18"/>
      <c r="G49" s="18"/>
    </row>
    <row r="50" spans="1:7" x14ac:dyDescent="0.4">
      <c r="A50" s="18"/>
      <c r="B50" s="18"/>
      <c r="G50" s="18"/>
    </row>
    <row r="51" spans="1:7" x14ac:dyDescent="0.4">
      <c r="A51" s="18"/>
      <c r="B51" s="18"/>
      <c r="G51" s="18"/>
    </row>
    <row r="52" spans="1:7" x14ac:dyDescent="0.4">
      <c r="A52" s="18"/>
      <c r="B52" s="18"/>
      <c r="G52" s="18"/>
    </row>
    <row r="53" spans="1:7" x14ac:dyDescent="0.4">
      <c r="A53" s="18"/>
      <c r="B53" s="18"/>
      <c r="C53" s="17"/>
      <c r="G53" s="18"/>
    </row>
    <row r="54" spans="1:7" x14ac:dyDescent="0.4">
      <c r="A54" s="18"/>
      <c r="B54" s="18"/>
    </row>
    <row r="55" spans="1:7" x14ac:dyDescent="0.4">
      <c r="A55" s="18"/>
      <c r="B55" s="18"/>
      <c r="G55" s="18"/>
    </row>
    <row r="56" spans="1:7" x14ac:dyDescent="0.4">
      <c r="A56" s="18"/>
      <c r="B56" s="18"/>
    </row>
    <row r="57" spans="1:7" x14ac:dyDescent="0.4">
      <c r="A57" s="18"/>
      <c r="B57" s="18"/>
    </row>
    <row r="58" spans="1:7" x14ac:dyDescent="0.4">
      <c r="A58" s="18"/>
      <c r="B58" s="18"/>
    </row>
    <row r="59" spans="1:7" x14ac:dyDescent="0.4">
      <c r="A59" s="18"/>
      <c r="B59" s="18"/>
    </row>
    <row r="60" spans="1:7" x14ac:dyDescent="0.4">
      <c r="A60" s="18"/>
      <c r="B60" s="18"/>
    </row>
    <row r="61" spans="1:7" x14ac:dyDescent="0.4">
      <c r="A61" s="18"/>
      <c r="B61" s="18"/>
    </row>
    <row r="62" spans="1:7" x14ac:dyDescent="0.4">
      <c r="A62" s="18"/>
      <c r="B62" s="18"/>
    </row>
    <row r="63" spans="1:7" x14ac:dyDescent="0.4">
      <c r="A63" s="18"/>
      <c r="B63" s="18"/>
    </row>
    <row r="64" spans="1:7" x14ac:dyDescent="0.4">
      <c r="A64" s="18"/>
      <c r="B64" s="18"/>
    </row>
    <row r="65" spans="1:2" x14ac:dyDescent="0.4">
      <c r="A65" s="18"/>
      <c r="B65" s="18"/>
    </row>
    <row r="66" spans="1:2" x14ac:dyDescent="0.4">
      <c r="A66" s="18"/>
      <c r="B66" s="18"/>
    </row>
    <row r="67" spans="1:2" x14ac:dyDescent="0.4">
      <c r="A67" s="18"/>
      <c r="B67" s="18"/>
    </row>
    <row r="68" spans="1:2" x14ac:dyDescent="0.4">
      <c r="A68" s="18"/>
      <c r="B68" s="18"/>
    </row>
    <row r="69" spans="1:2" x14ac:dyDescent="0.4">
      <c r="A69" s="18"/>
      <c r="B69" s="18"/>
    </row>
    <row r="70" spans="1:2" x14ac:dyDescent="0.4">
      <c r="A70" s="18"/>
      <c r="B70" s="18"/>
    </row>
    <row r="71" spans="1:2" x14ac:dyDescent="0.4">
      <c r="A71" s="18"/>
      <c r="B71" s="18"/>
    </row>
    <row r="72" spans="1:2" x14ac:dyDescent="0.4">
      <c r="A72" s="18"/>
      <c r="B72" s="18"/>
    </row>
    <row r="73" spans="1:2" x14ac:dyDescent="0.4">
      <c r="A73" s="18"/>
      <c r="B73" s="18"/>
    </row>
    <row r="74" spans="1:2" x14ac:dyDescent="0.4">
      <c r="A74" s="18"/>
      <c r="B74" s="18"/>
    </row>
    <row r="75" spans="1:2" x14ac:dyDescent="0.4">
      <c r="A75" s="18"/>
      <c r="B75" s="18"/>
    </row>
  </sheetData>
  <autoFilter ref="A2:E73" xr:uid="{8480D0BD-941D-4BB9-8E05-B7E3F1DA121A}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N213"/>
  <sheetViews>
    <sheetView topLeftCell="A60" zoomScale="85" zoomScaleNormal="85" workbookViewId="0">
      <selection activeCell="E47" sqref="E47"/>
    </sheetView>
  </sheetViews>
  <sheetFormatPr defaultRowHeight="18.75" x14ac:dyDescent="0.4"/>
  <cols>
    <col min="1" max="1" width="3.625" bestFit="1" customWidth="1"/>
    <col min="2" max="2" width="19.25" bestFit="1" customWidth="1"/>
    <col min="3" max="17" width="7.625" customWidth="1"/>
    <col min="18" max="18" width="7.5" bestFit="1" customWidth="1"/>
    <col min="19" max="19" width="2.625" customWidth="1"/>
    <col min="20" max="20" width="8.5" customWidth="1"/>
    <col min="21" max="21" width="4.375" customWidth="1"/>
    <col min="22" max="22" width="4.5" customWidth="1"/>
    <col min="23" max="23" width="8.5" style="17" customWidth="1"/>
    <col min="24" max="24" width="17.25" style="19" customWidth="1"/>
    <col min="25" max="25" width="25.5" style="19" bestFit="1" customWidth="1"/>
    <col min="26" max="26" width="17.125" style="19" customWidth="1"/>
    <col min="28" max="28" width="11.375" style="123" bestFit="1" customWidth="1"/>
    <col min="29" max="29" width="5.25" bestFit="1" customWidth="1"/>
    <col min="30" max="30" width="9" style="17"/>
    <col min="31" max="31" width="15.125" bestFit="1" customWidth="1"/>
    <col min="32" max="32" width="25.5" style="19" customWidth="1"/>
    <col min="33" max="33" width="17.125" style="19" customWidth="1"/>
    <col min="35" max="35" width="11.375" style="123" bestFit="1" customWidth="1"/>
    <col min="36" max="36" width="5.25" bestFit="1" customWidth="1"/>
    <col min="37" max="37" width="9" style="17"/>
    <col min="38" max="38" width="13" bestFit="1" customWidth="1"/>
    <col min="39" max="39" width="25.5" style="19" customWidth="1"/>
    <col min="40" max="40" width="17.125" style="19" customWidth="1"/>
  </cols>
  <sheetData>
    <row r="1" spans="1:40" x14ac:dyDescent="0.4">
      <c r="A1" t="s">
        <v>440</v>
      </c>
      <c r="T1" t="s">
        <v>434</v>
      </c>
      <c r="AB1" s="123" t="s">
        <v>435</v>
      </c>
      <c r="AI1" s="123" t="s">
        <v>436</v>
      </c>
    </row>
    <row r="2" spans="1:40" ht="19.5" thickBot="1" x14ac:dyDescent="0.45">
      <c r="A2" s="212" t="s">
        <v>32</v>
      </c>
      <c r="B2" s="212"/>
      <c r="C2" s="44" t="s">
        <v>443</v>
      </c>
      <c r="D2" s="44" t="s">
        <v>76</v>
      </c>
      <c r="E2" s="44" t="s">
        <v>77</v>
      </c>
      <c r="F2" s="44" t="s">
        <v>78</v>
      </c>
      <c r="G2" s="44" t="s">
        <v>79</v>
      </c>
      <c r="H2" s="44" t="s">
        <v>80</v>
      </c>
      <c r="I2" s="44" t="s">
        <v>81</v>
      </c>
      <c r="J2" s="44" t="s">
        <v>82</v>
      </c>
      <c r="K2" s="44" t="s">
        <v>83</v>
      </c>
      <c r="L2" s="44" t="s">
        <v>84</v>
      </c>
      <c r="M2" s="44" t="s">
        <v>85</v>
      </c>
      <c r="N2" s="44" t="s">
        <v>86</v>
      </c>
      <c r="O2" s="44" t="s">
        <v>87</v>
      </c>
      <c r="P2" s="44" t="s">
        <v>99</v>
      </c>
      <c r="Q2" s="44" t="s">
        <v>108</v>
      </c>
      <c r="R2" s="44" t="s">
        <v>109</v>
      </c>
      <c r="T2" s="75" t="s">
        <v>50</v>
      </c>
      <c r="U2" s="75" t="s">
        <v>144</v>
      </c>
      <c r="V2" s="75" t="s">
        <v>55</v>
      </c>
      <c r="W2" s="76" t="s">
        <v>106</v>
      </c>
      <c r="X2" s="76" t="s">
        <v>51</v>
      </c>
      <c r="Y2" s="77" t="s">
        <v>53</v>
      </c>
      <c r="Z2" s="77" t="s">
        <v>113</v>
      </c>
      <c r="AB2" s="160" t="s">
        <v>50</v>
      </c>
      <c r="AC2" s="161" t="s">
        <v>55</v>
      </c>
      <c r="AD2" s="162" t="s">
        <v>106</v>
      </c>
      <c r="AE2" s="161" t="s">
        <v>51</v>
      </c>
      <c r="AF2" s="163" t="s">
        <v>53</v>
      </c>
      <c r="AG2" s="163" t="s">
        <v>113</v>
      </c>
      <c r="AI2" s="144" t="s">
        <v>50</v>
      </c>
      <c r="AJ2" s="75" t="s">
        <v>55</v>
      </c>
      <c r="AK2" s="145" t="s">
        <v>106</v>
      </c>
      <c r="AL2" s="75" t="s">
        <v>51</v>
      </c>
      <c r="AM2" s="77" t="s">
        <v>53</v>
      </c>
      <c r="AN2" s="77" t="s">
        <v>113</v>
      </c>
    </row>
    <row r="3" spans="1:40" ht="19.5" thickTop="1" x14ac:dyDescent="0.4">
      <c r="A3" s="215" t="s">
        <v>40</v>
      </c>
      <c r="B3" s="216"/>
      <c r="C3" s="48">
        <v>180</v>
      </c>
      <c r="D3" s="49">
        <f t="shared" ref="D3:P3" si="0">D27/10000</f>
        <v>0</v>
      </c>
      <c r="E3" s="49">
        <f t="shared" si="0"/>
        <v>0</v>
      </c>
      <c r="F3" s="49">
        <f t="shared" si="0"/>
        <v>0</v>
      </c>
      <c r="G3" s="49">
        <f t="shared" si="0"/>
        <v>0</v>
      </c>
      <c r="H3" s="49">
        <f t="shared" si="0"/>
        <v>0</v>
      </c>
      <c r="I3" s="49">
        <f t="shared" si="0"/>
        <v>115.55419999999999</v>
      </c>
      <c r="J3" s="49">
        <f t="shared" si="0"/>
        <v>0</v>
      </c>
      <c r="K3" s="49">
        <f t="shared" si="0"/>
        <v>0</v>
      </c>
      <c r="L3" s="49">
        <f t="shared" si="0"/>
        <v>0</v>
      </c>
      <c r="M3" s="49">
        <f t="shared" si="0"/>
        <v>0</v>
      </c>
      <c r="N3" s="49">
        <f t="shared" si="0"/>
        <v>0</v>
      </c>
      <c r="O3" s="49">
        <f t="shared" si="0"/>
        <v>0</v>
      </c>
      <c r="P3" s="49">
        <f t="shared" si="0"/>
        <v>115.55419999999999</v>
      </c>
      <c r="Q3" s="49">
        <f t="shared" ref="Q3:Q22" si="1">C3-P3</f>
        <v>64.445800000000006</v>
      </c>
      <c r="R3" s="52">
        <f t="shared" ref="R3:R22" si="2">IF(ISERROR(P3/C3),0,P3/C3)</f>
        <v>0.64196777777777769</v>
      </c>
      <c r="T3" s="121">
        <v>45663</v>
      </c>
      <c r="U3" s="46" t="str">
        <f t="shared" ref="U3" si="3">IF(ISBLANK(T3),"",MONTH(T3)&amp;"月")</f>
        <v>1月</v>
      </c>
      <c r="V3" s="46" t="s">
        <v>187</v>
      </c>
      <c r="W3" s="73">
        <v>7865</v>
      </c>
      <c r="X3" s="4" t="s">
        <v>33</v>
      </c>
      <c r="Y3" s="67" t="s">
        <v>390</v>
      </c>
      <c r="Z3" s="67"/>
      <c r="AB3" s="164">
        <v>45683</v>
      </c>
      <c r="AC3" s="165" t="s">
        <v>197</v>
      </c>
      <c r="AD3" s="166">
        <v>11220</v>
      </c>
      <c r="AE3" s="165" t="s">
        <v>200</v>
      </c>
      <c r="AF3" s="167"/>
      <c r="AG3" s="168"/>
      <c r="AI3" s="121">
        <v>45665</v>
      </c>
      <c r="AJ3" s="46" t="s">
        <v>190</v>
      </c>
      <c r="AK3" s="73">
        <f>13954-2117</f>
        <v>11837</v>
      </c>
      <c r="AL3" s="46" t="s">
        <v>191</v>
      </c>
      <c r="AM3" s="74" t="s">
        <v>424</v>
      </c>
      <c r="AN3" s="74" t="s">
        <v>312</v>
      </c>
    </row>
    <row r="4" spans="1:40" x14ac:dyDescent="0.4">
      <c r="A4" s="217" t="s">
        <v>31</v>
      </c>
      <c r="B4" s="218"/>
      <c r="C4" s="4">
        <v>60</v>
      </c>
      <c r="D4" s="30">
        <f t="shared" ref="D4:P4" si="4">D28/10000</f>
        <v>3.7052999999999998</v>
      </c>
      <c r="E4" s="30">
        <f t="shared" si="4"/>
        <v>2.2759999999999998</v>
      </c>
      <c r="F4" s="30">
        <f t="shared" si="4"/>
        <v>5.7248999999999999</v>
      </c>
      <c r="G4" s="30">
        <f t="shared" si="4"/>
        <v>2.6932</v>
      </c>
      <c r="H4" s="30">
        <f t="shared" si="4"/>
        <v>3.6981999999999999</v>
      </c>
      <c r="I4" s="30">
        <f t="shared" si="4"/>
        <v>21.971299999999999</v>
      </c>
      <c r="J4" s="30">
        <f t="shared" si="4"/>
        <v>3.3018000000000001</v>
      </c>
      <c r="K4" s="30">
        <f t="shared" si="4"/>
        <v>0</v>
      </c>
      <c r="L4" s="30">
        <f t="shared" si="4"/>
        <v>0</v>
      </c>
      <c r="M4" s="30">
        <f t="shared" si="4"/>
        <v>0</v>
      </c>
      <c r="N4" s="30">
        <f t="shared" si="4"/>
        <v>0</v>
      </c>
      <c r="O4" s="30">
        <f t="shared" si="4"/>
        <v>0</v>
      </c>
      <c r="P4" s="30">
        <f t="shared" si="4"/>
        <v>43.370699999999999</v>
      </c>
      <c r="Q4" s="30">
        <f t="shared" si="1"/>
        <v>16.629300000000001</v>
      </c>
      <c r="R4" s="53">
        <f t="shared" si="2"/>
        <v>0.72284499999999996</v>
      </c>
      <c r="T4" s="121">
        <v>45663</v>
      </c>
      <c r="U4" s="46" t="str">
        <f t="shared" ref="U4:U9" si="5">IF(ISBLANK(T4),"",MONTH(T4)&amp;"月")</f>
        <v>1月</v>
      </c>
      <c r="V4" s="46" t="s">
        <v>187</v>
      </c>
      <c r="W4" s="73">
        <v>2278</v>
      </c>
      <c r="X4" s="46" t="s">
        <v>188</v>
      </c>
      <c r="Y4" s="74" t="s">
        <v>391</v>
      </c>
      <c r="Z4" s="67"/>
      <c r="AB4" s="169">
        <v>45683</v>
      </c>
      <c r="AC4" s="46" t="s">
        <v>197</v>
      </c>
      <c r="AD4" s="40">
        <v>719</v>
      </c>
      <c r="AE4" s="4" t="s">
        <v>200</v>
      </c>
      <c r="AF4" s="67"/>
      <c r="AG4" s="170"/>
      <c r="AI4" s="122">
        <v>45704</v>
      </c>
      <c r="AJ4" s="4" t="s">
        <v>210</v>
      </c>
      <c r="AK4" s="40">
        <v>5000</v>
      </c>
      <c r="AL4" s="67" t="s">
        <v>191</v>
      </c>
      <c r="AM4" s="67" t="s">
        <v>425</v>
      </c>
      <c r="AN4" s="67" t="s">
        <v>211</v>
      </c>
    </row>
    <row r="5" spans="1:40" ht="19.5" thickBot="1" x14ac:dyDescent="0.45">
      <c r="A5" s="219" t="s">
        <v>101</v>
      </c>
      <c r="B5" s="220"/>
      <c r="C5" s="50">
        <v>5</v>
      </c>
      <c r="D5" s="51">
        <f t="shared" ref="D5:P5" si="6">D29/10000</f>
        <v>9.2768999999999995</v>
      </c>
      <c r="E5" s="51">
        <f t="shared" si="6"/>
        <v>3.1171000000000002</v>
      </c>
      <c r="F5" s="51">
        <f t="shared" si="6"/>
        <v>5.6829999999999998</v>
      </c>
      <c r="G5" s="51">
        <f t="shared" si="6"/>
        <v>7.7127999999999997</v>
      </c>
      <c r="H5" s="51">
        <f t="shared" si="6"/>
        <v>0</v>
      </c>
      <c r="I5" s="51">
        <f t="shared" si="6"/>
        <v>0</v>
      </c>
      <c r="J5" s="51">
        <f t="shared" si="6"/>
        <v>0</v>
      </c>
      <c r="K5" s="51">
        <f t="shared" si="6"/>
        <v>0</v>
      </c>
      <c r="L5" s="51">
        <f t="shared" si="6"/>
        <v>0</v>
      </c>
      <c r="M5" s="51">
        <f t="shared" si="6"/>
        <v>0</v>
      </c>
      <c r="N5" s="51">
        <f t="shared" si="6"/>
        <v>0</v>
      </c>
      <c r="O5" s="51">
        <f t="shared" si="6"/>
        <v>0</v>
      </c>
      <c r="P5" s="51">
        <f t="shared" si="6"/>
        <v>25.7898</v>
      </c>
      <c r="Q5" s="51">
        <f>C5-P5</f>
        <v>-20.7898</v>
      </c>
      <c r="R5" s="54">
        <f t="shared" si="2"/>
        <v>5.1579600000000001</v>
      </c>
      <c r="T5" s="121">
        <v>45669</v>
      </c>
      <c r="U5" s="46" t="str">
        <f t="shared" si="5"/>
        <v>1月</v>
      </c>
      <c r="V5" s="46" t="s">
        <v>193</v>
      </c>
      <c r="W5" s="29">
        <v>12721</v>
      </c>
      <c r="X5" s="67" t="s">
        <v>100</v>
      </c>
      <c r="Y5" s="67" t="s">
        <v>310</v>
      </c>
      <c r="Z5" s="67"/>
      <c r="AB5" s="169">
        <v>45683</v>
      </c>
      <c r="AC5" s="46" t="s">
        <v>197</v>
      </c>
      <c r="AD5" s="40">
        <v>3050</v>
      </c>
      <c r="AE5" s="4" t="s">
        <v>200</v>
      </c>
      <c r="AF5" s="67"/>
      <c r="AG5" s="170"/>
      <c r="AI5" s="122">
        <v>45709</v>
      </c>
      <c r="AJ5" s="46" t="s">
        <v>214</v>
      </c>
      <c r="AK5" s="40">
        <v>7181</v>
      </c>
      <c r="AL5" s="46" t="s">
        <v>191</v>
      </c>
      <c r="AM5" s="74" t="s">
        <v>424</v>
      </c>
      <c r="AN5" s="74" t="s">
        <v>427</v>
      </c>
    </row>
    <row r="6" spans="1:40" ht="19.5" thickTop="1" x14ac:dyDescent="0.4">
      <c r="A6" s="213" t="s">
        <v>34</v>
      </c>
      <c r="B6" s="45" t="s">
        <v>103</v>
      </c>
      <c r="C6" s="46">
        <v>15</v>
      </c>
      <c r="D6" s="47">
        <f t="shared" ref="D6:P6" si="7">D31/10000</f>
        <v>0</v>
      </c>
      <c r="E6" s="47">
        <f t="shared" si="7"/>
        <v>0.22</v>
      </c>
      <c r="F6" s="47">
        <f t="shared" si="7"/>
        <v>0.64170000000000005</v>
      </c>
      <c r="G6" s="47">
        <f t="shared" si="7"/>
        <v>2.7856000000000001</v>
      </c>
      <c r="H6" s="47">
        <f t="shared" si="7"/>
        <v>0</v>
      </c>
      <c r="I6" s="47">
        <f t="shared" si="7"/>
        <v>0.16400000000000001</v>
      </c>
      <c r="J6" s="47">
        <f t="shared" si="7"/>
        <v>0.57820000000000005</v>
      </c>
      <c r="K6" s="47">
        <f t="shared" si="7"/>
        <v>0</v>
      </c>
      <c r="L6" s="47">
        <f t="shared" si="7"/>
        <v>0</v>
      </c>
      <c r="M6" s="47">
        <f t="shared" si="7"/>
        <v>0</v>
      </c>
      <c r="N6" s="47">
        <f t="shared" si="7"/>
        <v>0</v>
      </c>
      <c r="O6" s="47">
        <f t="shared" si="7"/>
        <v>0</v>
      </c>
      <c r="P6" s="47">
        <f t="shared" si="7"/>
        <v>4.3895</v>
      </c>
      <c r="Q6" s="47">
        <f t="shared" si="1"/>
        <v>10.6105</v>
      </c>
      <c r="R6" s="55">
        <f t="shared" si="2"/>
        <v>0.29263333333333336</v>
      </c>
      <c r="T6" s="121">
        <v>45670</v>
      </c>
      <c r="U6" s="46" t="str">
        <f t="shared" si="5"/>
        <v>1月</v>
      </c>
      <c r="V6" s="46" t="s">
        <v>56</v>
      </c>
      <c r="W6" s="40">
        <v>13650</v>
      </c>
      <c r="X6" s="67" t="s">
        <v>38</v>
      </c>
      <c r="Y6" s="67" t="s">
        <v>389</v>
      </c>
      <c r="Z6" s="67"/>
      <c r="AB6" s="169">
        <v>45683</v>
      </c>
      <c r="AC6" s="46" t="s">
        <v>197</v>
      </c>
      <c r="AD6" s="40">
        <v>240</v>
      </c>
      <c r="AE6" s="4" t="s">
        <v>200</v>
      </c>
      <c r="AF6" s="67"/>
      <c r="AG6" s="170"/>
      <c r="AI6" s="122">
        <v>45710</v>
      </c>
      <c r="AJ6" s="46" t="s">
        <v>72</v>
      </c>
      <c r="AK6" s="40">
        <v>13580</v>
      </c>
      <c r="AL6" s="46" t="s">
        <v>191</v>
      </c>
      <c r="AM6" s="67" t="s">
        <v>426</v>
      </c>
      <c r="AN6" s="67" t="s">
        <v>428</v>
      </c>
    </row>
    <row r="7" spans="1:40" x14ac:dyDescent="0.4">
      <c r="A7" s="214"/>
      <c r="B7" s="9" t="s">
        <v>28</v>
      </c>
      <c r="C7" s="4">
        <v>5</v>
      </c>
      <c r="D7" s="47">
        <f t="shared" ref="D7:P7" si="8">D32/10000</f>
        <v>0</v>
      </c>
      <c r="E7" s="47">
        <f t="shared" si="8"/>
        <v>2.262</v>
      </c>
      <c r="F7" s="47">
        <f t="shared" si="8"/>
        <v>0</v>
      </c>
      <c r="G7" s="47">
        <f t="shared" si="8"/>
        <v>0</v>
      </c>
      <c r="H7" s="47">
        <f t="shared" si="8"/>
        <v>0</v>
      </c>
      <c r="I7" s="47">
        <f t="shared" si="8"/>
        <v>0</v>
      </c>
      <c r="J7" s="47">
        <f t="shared" si="8"/>
        <v>0</v>
      </c>
      <c r="K7" s="47">
        <f t="shared" si="8"/>
        <v>0</v>
      </c>
      <c r="L7" s="47">
        <f t="shared" si="8"/>
        <v>0</v>
      </c>
      <c r="M7" s="47">
        <f t="shared" si="8"/>
        <v>0</v>
      </c>
      <c r="N7" s="47">
        <f t="shared" si="8"/>
        <v>0</v>
      </c>
      <c r="O7" s="47">
        <f t="shared" si="8"/>
        <v>0</v>
      </c>
      <c r="P7" s="47">
        <f t="shared" si="8"/>
        <v>2.262</v>
      </c>
      <c r="Q7" s="30">
        <f t="shared" si="1"/>
        <v>2.738</v>
      </c>
      <c r="R7" s="53">
        <f t="shared" si="2"/>
        <v>0.45240000000000002</v>
      </c>
      <c r="T7" s="121">
        <v>45670</v>
      </c>
      <c r="U7" s="46" t="str">
        <f t="shared" ref="U7" si="9">IF(ISBLANK(T7),"",MONTH(T7)&amp;"月")</f>
        <v>1月</v>
      </c>
      <c r="V7" s="46" t="s">
        <v>56</v>
      </c>
      <c r="W7" s="40">
        <v>7480</v>
      </c>
      <c r="X7" s="4" t="s">
        <v>33</v>
      </c>
      <c r="Y7" s="67" t="s">
        <v>392</v>
      </c>
      <c r="Z7" s="67"/>
      <c r="AB7" s="169">
        <v>45683</v>
      </c>
      <c r="AC7" s="46" t="s">
        <v>197</v>
      </c>
      <c r="AD7" s="40">
        <v>420</v>
      </c>
      <c r="AE7" s="4" t="s">
        <v>200</v>
      </c>
      <c r="AF7" s="67"/>
      <c r="AG7" s="170"/>
      <c r="AI7" s="122">
        <v>45713</v>
      </c>
      <c r="AJ7" s="46" t="s">
        <v>66</v>
      </c>
      <c r="AK7" s="40">
        <v>610</v>
      </c>
      <c r="AL7" s="46" t="s">
        <v>191</v>
      </c>
      <c r="AM7" s="67" t="s">
        <v>430</v>
      </c>
      <c r="AN7" s="67" t="s">
        <v>429</v>
      </c>
    </row>
    <row r="8" spans="1:40" x14ac:dyDescent="0.4">
      <c r="A8" s="214"/>
      <c r="B8" s="9" t="s">
        <v>135</v>
      </c>
      <c r="C8" s="4">
        <v>5</v>
      </c>
      <c r="D8" s="47">
        <f t="shared" ref="D8:P8" si="10">D33/10000</f>
        <v>0</v>
      </c>
      <c r="E8" s="47">
        <f t="shared" si="10"/>
        <v>0</v>
      </c>
      <c r="F8" s="47">
        <f t="shared" si="10"/>
        <v>0</v>
      </c>
      <c r="G8" s="47">
        <f t="shared" si="10"/>
        <v>0</v>
      </c>
      <c r="H8" s="47">
        <f t="shared" si="10"/>
        <v>0</v>
      </c>
      <c r="I8" s="47">
        <f t="shared" si="10"/>
        <v>0</v>
      </c>
      <c r="J8" s="47">
        <f t="shared" si="10"/>
        <v>0</v>
      </c>
      <c r="K8" s="47">
        <f t="shared" si="10"/>
        <v>0</v>
      </c>
      <c r="L8" s="47">
        <f t="shared" si="10"/>
        <v>0</v>
      </c>
      <c r="M8" s="47">
        <f t="shared" si="10"/>
        <v>0</v>
      </c>
      <c r="N8" s="47">
        <f t="shared" si="10"/>
        <v>0</v>
      </c>
      <c r="O8" s="47">
        <f t="shared" si="10"/>
        <v>0</v>
      </c>
      <c r="P8" s="47">
        <f t="shared" si="10"/>
        <v>0</v>
      </c>
      <c r="Q8" s="30">
        <f t="shared" si="1"/>
        <v>5</v>
      </c>
      <c r="R8" s="53">
        <f t="shared" si="2"/>
        <v>0</v>
      </c>
      <c r="T8" s="121">
        <v>45677</v>
      </c>
      <c r="U8" s="46" t="str">
        <f t="shared" si="5"/>
        <v>1月</v>
      </c>
      <c r="V8" s="46" t="s">
        <v>187</v>
      </c>
      <c r="W8" s="29">
        <v>32000</v>
      </c>
      <c r="X8" s="46" t="s">
        <v>188</v>
      </c>
      <c r="Y8" s="67" t="s">
        <v>393</v>
      </c>
      <c r="Z8" s="67"/>
      <c r="AB8" s="169">
        <v>45684</v>
      </c>
      <c r="AC8" s="46" t="s">
        <v>56</v>
      </c>
      <c r="AD8" s="40">
        <v>1342</v>
      </c>
      <c r="AE8" s="4" t="s">
        <v>200</v>
      </c>
      <c r="AF8" s="67"/>
      <c r="AG8" s="170"/>
      <c r="AI8" s="122">
        <v>45713</v>
      </c>
      <c r="AJ8" s="46" t="s">
        <v>66</v>
      </c>
      <c r="AK8" s="40">
        <v>1800</v>
      </c>
      <c r="AL8" s="46" t="s">
        <v>191</v>
      </c>
      <c r="AM8" s="67" t="s">
        <v>431</v>
      </c>
      <c r="AN8" s="67" t="s">
        <v>327</v>
      </c>
    </row>
    <row r="9" spans="1:40" x14ac:dyDescent="0.4">
      <c r="A9" s="214"/>
      <c r="B9" s="9" t="s">
        <v>54</v>
      </c>
      <c r="C9" s="4">
        <v>20</v>
      </c>
      <c r="D9" s="47">
        <f t="shared" ref="D9:P9" si="11">D34/10000</f>
        <v>17.764900000000001</v>
      </c>
      <c r="E9" s="47">
        <f t="shared" si="11"/>
        <v>0</v>
      </c>
      <c r="F9" s="47">
        <f t="shared" si="11"/>
        <v>2</v>
      </c>
      <c r="G9" s="47">
        <f t="shared" si="11"/>
        <v>0</v>
      </c>
      <c r="H9" s="47">
        <f t="shared" si="11"/>
        <v>0</v>
      </c>
      <c r="I9" s="47">
        <f t="shared" si="11"/>
        <v>0</v>
      </c>
      <c r="J9" s="47">
        <f t="shared" si="11"/>
        <v>0</v>
      </c>
      <c r="K9" s="47">
        <f t="shared" si="11"/>
        <v>0</v>
      </c>
      <c r="L9" s="47">
        <f t="shared" si="11"/>
        <v>0</v>
      </c>
      <c r="M9" s="47">
        <f t="shared" si="11"/>
        <v>0</v>
      </c>
      <c r="N9" s="47">
        <f t="shared" si="11"/>
        <v>0</v>
      </c>
      <c r="O9" s="47">
        <f t="shared" si="11"/>
        <v>0</v>
      </c>
      <c r="P9" s="47">
        <f t="shared" si="11"/>
        <v>19.764900000000001</v>
      </c>
      <c r="Q9" s="30">
        <f t="shared" si="1"/>
        <v>0.2350999999999992</v>
      </c>
      <c r="R9" s="53">
        <f t="shared" si="2"/>
        <v>0.98824500000000004</v>
      </c>
      <c r="T9" s="121">
        <v>45683</v>
      </c>
      <c r="U9" s="46" t="str">
        <f t="shared" si="5"/>
        <v>1月</v>
      </c>
      <c r="V9" s="46" t="s">
        <v>73</v>
      </c>
      <c r="W9" s="29">
        <v>15649</v>
      </c>
      <c r="X9" s="67" t="s">
        <v>203</v>
      </c>
      <c r="Y9" s="67" t="s">
        <v>394</v>
      </c>
      <c r="Z9" s="67"/>
      <c r="AB9" s="169">
        <v>45684</v>
      </c>
      <c r="AC9" s="46" t="s">
        <v>56</v>
      </c>
      <c r="AD9" s="40">
        <v>1190</v>
      </c>
      <c r="AE9" s="4" t="s">
        <v>200</v>
      </c>
      <c r="AF9" s="67"/>
      <c r="AG9" s="170"/>
      <c r="AI9" s="122">
        <v>45761</v>
      </c>
      <c r="AJ9" s="46" t="s">
        <v>245</v>
      </c>
      <c r="AK9" s="40">
        <v>77128</v>
      </c>
      <c r="AL9" s="67" t="s">
        <v>233</v>
      </c>
      <c r="AM9" s="67" t="s">
        <v>276</v>
      </c>
      <c r="AN9" s="67"/>
    </row>
    <row r="10" spans="1:40" x14ac:dyDescent="0.4">
      <c r="A10" s="214"/>
      <c r="B10" s="9" t="s">
        <v>38</v>
      </c>
      <c r="C10" s="4">
        <v>2</v>
      </c>
      <c r="D10" s="47">
        <f t="shared" ref="D10:P10" si="12">D35/10000</f>
        <v>1.365</v>
      </c>
      <c r="E10" s="47">
        <f t="shared" si="12"/>
        <v>0</v>
      </c>
      <c r="F10" s="47">
        <f t="shared" si="12"/>
        <v>0</v>
      </c>
      <c r="G10" s="47">
        <f t="shared" si="12"/>
        <v>0</v>
      </c>
      <c r="H10" s="47">
        <f t="shared" si="12"/>
        <v>0</v>
      </c>
      <c r="I10" s="47">
        <f t="shared" si="12"/>
        <v>0</v>
      </c>
      <c r="J10" s="47">
        <f t="shared" si="12"/>
        <v>0</v>
      </c>
      <c r="K10" s="47">
        <f t="shared" si="12"/>
        <v>0</v>
      </c>
      <c r="L10" s="47">
        <f t="shared" si="12"/>
        <v>0</v>
      </c>
      <c r="M10" s="47">
        <f t="shared" si="12"/>
        <v>0</v>
      </c>
      <c r="N10" s="47">
        <f t="shared" si="12"/>
        <v>0</v>
      </c>
      <c r="O10" s="47">
        <f t="shared" si="12"/>
        <v>0</v>
      </c>
      <c r="P10" s="47">
        <f t="shared" si="12"/>
        <v>1.365</v>
      </c>
      <c r="Q10" s="30">
        <f t="shared" si="1"/>
        <v>0.63500000000000001</v>
      </c>
      <c r="R10" s="53">
        <f t="shared" si="2"/>
        <v>0.6825</v>
      </c>
      <c r="T10" s="121">
        <v>45684</v>
      </c>
      <c r="U10" s="46" t="str">
        <f t="shared" ref="U10" si="13">IF(ISBLANK(T10),"",MONTH(T10)&amp;"月")</f>
        <v>1月</v>
      </c>
      <c r="V10" s="46" t="s">
        <v>187</v>
      </c>
      <c r="W10" s="40">
        <v>6281</v>
      </c>
      <c r="X10" s="67" t="s">
        <v>200</v>
      </c>
      <c r="Y10" s="67" t="s">
        <v>394</v>
      </c>
      <c r="Z10" s="67"/>
      <c r="AB10" s="169">
        <v>45684</v>
      </c>
      <c r="AC10" s="46" t="s">
        <v>56</v>
      </c>
      <c r="AD10" s="40">
        <v>560</v>
      </c>
      <c r="AE10" s="4" t="s">
        <v>200</v>
      </c>
      <c r="AF10" s="67"/>
      <c r="AG10" s="170"/>
      <c r="AI10" s="122">
        <v>45825</v>
      </c>
      <c r="AJ10" s="4" t="s">
        <v>275</v>
      </c>
      <c r="AK10" s="40">
        <v>7500</v>
      </c>
      <c r="AL10" s="67" t="s">
        <v>191</v>
      </c>
      <c r="AM10" s="67" t="s">
        <v>277</v>
      </c>
      <c r="AN10" s="67"/>
    </row>
    <row r="11" spans="1:40" x14ac:dyDescent="0.4">
      <c r="A11" s="214"/>
      <c r="B11" s="9" t="s">
        <v>118</v>
      </c>
      <c r="C11" s="4">
        <v>22</v>
      </c>
      <c r="D11" s="47">
        <f t="shared" ref="D11:P11" si="14">D36/10000</f>
        <v>0</v>
      </c>
      <c r="E11" s="47">
        <f t="shared" si="14"/>
        <v>0</v>
      </c>
      <c r="F11" s="47">
        <f t="shared" si="14"/>
        <v>0</v>
      </c>
      <c r="G11" s="47">
        <f t="shared" si="14"/>
        <v>0</v>
      </c>
      <c r="H11" s="47">
        <f t="shared" si="14"/>
        <v>0</v>
      </c>
      <c r="I11" s="47">
        <f t="shared" si="14"/>
        <v>0</v>
      </c>
      <c r="J11" s="47">
        <f t="shared" si="14"/>
        <v>0</v>
      </c>
      <c r="K11" s="47">
        <f t="shared" si="14"/>
        <v>0</v>
      </c>
      <c r="L11" s="47">
        <f t="shared" si="14"/>
        <v>0</v>
      </c>
      <c r="M11" s="47">
        <f t="shared" si="14"/>
        <v>0</v>
      </c>
      <c r="N11" s="47">
        <f t="shared" si="14"/>
        <v>0</v>
      </c>
      <c r="O11" s="47">
        <f t="shared" si="14"/>
        <v>0</v>
      </c>
      <c r="P11" s="47">
        <f t="shared" si="14"/>
        <v>0</v>
      </c>
      <c r="Q11" s="30">
        <f t="shared" si="1"/>
        <v>22</v>
      </c>
      <c r="R11" s="53">
        <f t="shared" si="2"/>
        <v>0</v>
      </c>
      <c r="T11" s="121">
        <v>45684</v>
      </c>
      <c r="U11" s="46" t="str">
        <f t="shared" ref="U11:U12" si="15">IF(ISBLANK(T11),"",MONTH(T11)&amp;"月")</f>
        <v>1月</v>
      </c>
      <c r="V11" s="46" t="s">
        <v>187</v>
      </c>
      <c r="W11" s="29">
        <v>5174</v>
      </c>
      <c r="X11" s="67" t="s">
        <v>107</v>
      </c>
      <c r="Y11" s="67" t="s">
        <v>395</v>
      </c>
      <c r="Z11" s="67"/>
      <c r="AB11" s="169">
        <v>45684</v>
      </c>
      <c r="AC11" s="46" t="s">
        <v>56</v>
      </c>
      <c r="AD11" s="40">
        <v>2100</v>
      </c>
      <c r="AE11" s="4" t="s">
        <v>200</v>
      </c>
      <c r="AF11" s="4"/>
      <c r="AG11" s="170"/>
      <c r="AI11" s="122"/>
      <c r="AJ11" s="4"/>
      <c r="AK11" s="40"/>
      <c r="AL11" s="46"/>
      <c r="AM11" s="74"/>
      <c r="AN11" s="74"/>
    </row>
    <row r="12" spans="1:40" ht="19.5" thickBot="1" x14ac:dyDescent="0.45">
      <c r="A12" s="214"/>
      <c r="B12" s="9" t="s">
        <v>107</v>
      </c>
      <c r="C12" s="4">
        <v>6</v>
      </c>
      <c r="D12" s="47">
        <f t="shared" ref="D12:P12" si="16">D37/10000</f>
        <v>0.51739999999999997</v>
      </c>
      <c r="E12" s="47">
        <f t="shared" si="16"/>
        <v>0</v>
      </c>
      <c r="F12" s="47">
        <f t="shared" si="16"/>
        <v>0.20269999999999999</v>
      </c>
      <c r="G12" s="47">
        <f t="shared" si="16"/>
        <v>1.4229000000000001</v>
      </c>
      <c r="H12" s="47">
        <f t="shared" si="16"/>
        <v>0</v>
      </c>
      <c r="I12" s="47">
        <f t="shared" si="16"/>
        <v>0</v>
      </c>
      <c r="J12" s="47">
        <f t="shared" si="16"/>
        <v>0</v>
      </c>
      <c r="K12" s="47">
        <f t="shared" si="16"/>
        <v>0</v>
      </c>
      <c r="L12" s="47">
        <f t="shared" si="16"/>
        <v>0</v>
      </c>
      <c r="M12" s="47">
        <f t="shared" si="16"/>
        <v>0</v>
      </c>
      <c r="N12" s="47">
        <f t="shared" si="16"/>
        <v>0</v>
      </c>
      <c r="O12" s="47">
        <f t="shared" si="16"/>
        <v>0</v>
      </c>
      <c r="P12" s="47">
        <f t="shared" si="16"/>
        <v>2.1429999999999998</v>
      </c>
      <c r="Q12" s="30">
        <f t="shared" si="1"/>
        <v>3.8570000000000002</v>
      </c>
      <c r="R12" s="53">
        <f t="shared" si="2"/>
        <v>0.35716666666666663</v>
      </c>
      <c r="T12" s="121">
        <v>45684</v>
      </c>
      <c r="U12" s="46" t="str">
        <f t="shared" si="15"/>
        <v>1月</v>
      </c>
      <c r="V12" s="46" t="s">
        <v>187</v>
      </c>
      <c r="W12" s="40">
        <v>167649</v>
      </c>
      <c r="X12" s="67" t="s">
        <v>189</v>
      </c>
      <c r="Y12" s="67" t="s">
        <v>119</v>
      </c>
      <c r="Z12" s="67"/>
      <c r="AB12" s="171">
        <v>45684</v>
      </c>
      <c r="AC12" s="172" t="s">
        <v>56</v>
      </c>
      <c r="AD12" s="173">
        <v>1089</v>
      </c>
      <c r="AE12" s="174" t="s">
        <v>200</v>
      </c>
      <c r="AF12" s="175"/>
      <c r="AG12" s="176"/>
      <c r="AI12" s="122"/>
      <c r="AJ12" s="4"/>
      <c r="AK12" s="40"/>
      <c r="AL12" s="46"/>
      <c r="AM12" s="67"/>
      <c r="AN12" s="67"/>
    </row>
    <row r="13" spans="1:40" x14ac:dyDescent="0.4">
      <c r="A13" s="214"/>
      <c r="B13" s="6" t="s">
        <v>26</v>
      </c>
      <c r="C13" s="31">
        <f t="shared" ref="C13:O13" si="17">SUM(C6:C12)</f>
        <v>75</v>
      </c>
      <c r="D13" s="102">
        <f t="shared" si="17"/>
        <v>19.647299999999998</v>
      </c>
      <c r="E13" s="102">
        <f t="shared" si="17"/>
        <v>2.4820000000000002</v>
      </c>
      <c r="F13" s="102">
        <f t="shared" si="17"/>
        <v>2.8444000000000003</v>
      </c>
      <c r="G13" s="102">
        <f t="shared" si="17"/>
        <v>4.2084999999999999</v>
      </c>
      <c r="H13" s="102">
        <f t="shared" si="17"/>
        <v>0</v>
      </c>
      <c r="I13" s="102">
        <f t="shared" si="17"/>
        <v>0.16400000000000001</v>
      </c>
      <c r="J13" s="102">
        <f t="shared" si="17"/>
        <v>0.57820000000000005</v>
      </c>
      <c r="K13" s="102">
        <f t="shared" si="17"/>
        <v>0</v>
      </c>
      <c r="L13" s="102">
        <f t="shared" si="17"/>
        <v>0</v>
      </c>
      <c r="M13" s="102">
        <f t="shared" si="17"/>
        <v>0</v>
      </c>
      <c r="N13" s="102">
        <f t="shared" si="17"/>
        <v>0</v>
      </c>
      <c r="O13" s="102">
        <f t="shared" si="17"/>
        <v>0</v>
      </c>
      <c r="P13" s="32">
        <f>SUM(D13:O13)</f>
        <v>29.924399999999999</v>
      </c>
      <c r="Q13" s="32">
        <f t="shared" si="1"/>
        <v>45.075600000000001</v>
      </c>
      <c r="R13" s="56">
        <f t="shared" si="2"/>
        <v>0.39899199999999996</v>
      </c>
      <c r="T13" s="121">
        <v>45684</v>
      </c>
      <c r="U13" s="46" t="str">
        <f t="shared" ref="U13" si="18">IF(ISBLANK(T13),"",MONTH(T13)&amp;"月")</f>
        <v>1月</v>
      </c>
      <c r="V13" s="46" t="s">
        <v>187</v>
      </c>
      <c r="W13" s="40">
        <v>10000</v>
      </c>
      <c r="X13" s="67" t="s">
        <v>189</v>
      </c>
      <c r="Y13" s="67" t="s">
        <v>204</v>
      </c>
      <c r="Z13" s="67"/>
      <c r="AB13" s="164">
        <v>45821</v>
      </c>
      <c r="AC13" s="165" t="s">
        <v>71</v>
      </c>
      <c r="AD13" s="165">
        <v>770</v>
      </c>
      <c r="AE13" s="165" t="s">
        <v>200</v>
      </c>
      <c r="AF13" s="165"/>
      <c r="AG13" s="168"/>
      <c r="AI13" s="122"/>
      <c r="AJ13" s="4"/>
      <c r="AK13" s="40"/>
      <c r="AL13" s="4"/>
      <c r="AM13" s="67"/>
      <c r="AN13" s="67"/>
    </row>
    <row r="14" spans="1:40" ht="18.75" customHeight="1" x14ac:dyDescent="0.4">
      <c r="A14" s="225" t="s">
        <v>441</v>
      </c>
      <c r="B14" s="5" t="s">
        <v>110</v>
      </c>
      <c r="C14" s="4">
        <v>40</v>
      </c>
      <c r="D14" s="47">
        <f t="shared" ref="D14:P14" si="19">D39/10000</f>
        <v>2.1930000000000001</v>
      </c>
      <c r="E14" s="47">
        <f t="shared" si="19"/>
        <v>0</v>
      </c>
      <c r="F14" s="47">
        <f t="shared" si="19"/>
        <v>0</v>
      </c>
      <c r="G14" s="47">
        <f t="shared" si="19"/>
        <v>0.78180000000000005</v>
      </c>
      <c r="H14" s="47">
        <f t="shared" si="19"/>
        <v>0</v>
      </c>
      <c r="I14" s="47">
        <f t="shared" si="19"/>
        <v>7.569</v>
      </c>
      <c r="J14" s="47">
        <f t="shared" si="19"/>
        <v>4.0583</v>
      </c>
      <c r="K14" s="47">
        <f t="shared" si="19"/>
        <v>0</v>
      </c>
      <c r="L14" s="47">
        <f t="shared" si="19"/>
        <v>0</v>
      </c>
      <c r="M14" s="47">
        <f t="shared" si="19"/>
        <v>0</v>
      </c>
      <c r="N14" s="47">
        <f t="shared" si="19"/>
        <v>0</v>
      </c>
      <c r="O14" s="47">
        <f t="shared" si="19"/>
        <v>0</v>
      </c>
      <c r="P14" s="47">
        <f t="shared" si="19"/>
        <v>14.6021</v>
      </c>
      <c r="Q14" s="30">
        <f t="shared" si="1"/>
        <v>25.3979</v>
      </c>
      <c r="R14" s="53">
        <f t="shared" si="2"/>
        <v>0.3650525</v>
      </c>
      <c r="T14" s="42">
        <v>45691</v>
      </c>
      <c r="U14" s="46" t="str">
        <f t="shared" ref="U14:U18" si="20">IF(ISBLANK(T14),"",MONTH(T14)&amp;"月")</f>
        <v>2月</v>
      </c>
      <c r="V14" s="46" t="s">
        <v>187</v>
      </c>
      <c r="W14" s="40">
        <v>4581</v>
      </c>
      <c r="X14" s="46" t="s">
        <v>188</v>
      </c>
      <c r="Y14" s="67" t="s">
        <v>396</v>
      </c>
      <c r="Z14" s="67"/>
      <c r="AB14" s="180">
        <v>45821</v>
      </c>
      <c r="AC14" s="4" t="s">
        <v>71</v>
      </c>
      <c r="AD14" s="4">
        <v>1392</v>
      </c>
      <c r="AE14" s="4" t="s">
        <v>200</v>
      </c>
      <c r="AF14" s="4"/>
      <c r="AG14" s="170"/>
      <c r="AI14" s="122"/>
      <c r="AJ14" s="4"/>
      <c r="AK14" s="40"/>
      <c r="AL14" s="67"/>
      <c r="AM14" s="67"/>
      <c r="AN14" s="67"/>
    </row>
    <row r="15" spans="1:40" x14ac:dyDescent="0.4">
      <c r="A15" s="225"/>
      <c r="B15" s="5" t="s">
        <v>115</v>
      </c>
      <c r="C15" s="4">
        <v>5</v>
      </c>
      <c r="D15" s="47">
        <f t="shared" ref="D15:P15" si="21">D40/10000</f>
        <v>0</v>
      </c>
      <c r="E15" s="47">
        <f t="shared" si="21"/>
        <v>0</v>
      </c>
      <c r="F15" s="47">
        <f t="shared" si="21"/>
        <v>0.19919999999999999</v>
      </c>
      <c r="G15" s="47">
        <f t="shared" si="21"/>
        <v>0</v>
      </c>
      <c r="H15" s="47">
        <f t="shared" si="21"/>
        <v>1.0929</v>
      </c>
      <c r="I15" s="47">
        <f t="shared" si="21"/>
        <v>0</v>
      </c>
      <c r="J15" s="47">
        <f t="shared" si="21"/>
        <v>0.1399</v>
      </c>
      <c r="K15" s="47">
        <f t="shared" si="21"/>
        <v>0</v>
      </c>
      <c r="L15" s="47">
        <f t="shared" si="21"/>
        <v>0</v>
      </c>
      <c r="M15" s="47">
        <f t="shared" si="21"/>
        <v>0</v>
      </c>
      <c r="N15" s="47">
        <f t="shared" si="21"/>
        <v>0</v>
      </c>
      <c r="O15" s="47">
        <f t="shared" si="21"/>
        <v>0</v>
      </c>
      <c r="P15" s="47">
        <f t="shared" si="21"/>
        <v>1.4319999999999999</v>
      </c>
      <c r="Q15" s="30">
        <f t="shared" si="1"/>
        <v>3.5680000000000001</v>
      </c>
      <c r="R15" s="53">
        <f t="shared" si="2"/>
        <v>0.28639999999999999</v>
      </c>
      <c r="T15" s="42">
        <v>45692</v>
      </c>
      <c r="U15" s="46" t="str">
        <f t="shared" ref="U15" si="22">IF(ISBLANK(T15),"",MONTH(T15)&amp;"月")</f>
        <v>2月</v>
      </c>
      <c r="V15" s="46" t="s">
        <v>66</v>
      </c>
      <c r="W15" s="40">
        <v>7370</v>
      </c>
      <c r="X15" s="4" t="s">
        <v>33</v>
      </c>
      <c r="Y15" s="67" t="s">
        <v>390</v>
      </c>
      <c r="Z15" s="67"/>
      <c r="AB15" s="169">
        <v>45821</v>
      </c>
      <c r="AC15" s="46" t="s">
        <v>71</v>
      </c>
      <c r="AD15" s="4">
        <v>1470</v>
      </c>
      <c r="AE15" s="4" t="s">
        <v>200</v>
      </c>
      <c r="AF15" s="4"/>
      <c r="AG15" s="170"/>
      <c r="AI15" s="122"/>
      <c r="AJ15" s="4"/>
      <c r="AK15" s="40"/>
      <c r="AL15" s="67"/>
      <c r="AM15" s="67"/>
      <c r="AN15" s="67"/>
    </row>
    <row r="16" spans="1:40" x14ac:dyDescent="0.4">
      <c r="A16" s="225"/>
      <c r="B16" s="5" t="s">
        <v>92</v>
      </c>
      <c r="C16" s="4">
        <v>40</v>
      </c>
      <c r="D16" s="47">
        <f t="shared" ref="D16:P16" si="23">D41/10000</f>
        <v>3.4278</v>
      </c>
      <c r="E16" s="47">
        <f t="shared" si="23"/>
        <v>10.7746</v>
      </c>
      <c r="F16" s="47">
        <f t="shared" si="23"/>
        <v>1.6623000000000001</v>
      </c>
      <c r="G16" s="47">
        <f t="shared" si="23"/>
        <v>0.1399</v>
      </c>
      <c r="H16" s="47">
        <f t="shared" si="23"/>
        <v>1.1172</v>
      </c>
      <c r="I16" s="47">
        <f t="shared" si="23"/>
        <v>0</v>
      </c>
      <c r="J16" s="47">
        <f t="shared" si="23"/>
        <v>0.17799999999999999</v>
      </c>
      <c r="K16" s="47">
        <f t="shared" si="23"/>
        <v>0</v>
      </c>
      <c r="L16" s="47">
        <f t="shared" si="23"/>
        <v>0</v>
      </c>
      <c r="M16" s="47">
        <f t="shared" si="23"/>
        <v>0</v>
      </c>
      <c r="N16" s="47">
        <f t="shared" si="23"/>
        <v>0</v>
      </c>
      <c r="O16" s="47">
        <f t="shared" si="23"/>
        <v>0</v>
      </c>
      <c r="P16" s="47">
        <f t="shared" si="23"/>
        <v>17.299800000000001</v>
      </c>
      <c r="Q16" s="30">
        <f t="shared" si="1"/>
        <v>22.700199999999999</v>
      </c>
      <c r="R16" s="53">
        <f t="shared" si="2"/>
        <v>0.43249500000000002</v>
      </c>
      <c r="T16" s="42">
        <v>45701</v>
      </c>
      <c r="U16" s="46" t="str">
        <f t="shared" si="20"/>
        <v>2月</v>
      </c>
      <c r="V16" s="4" t="s">
        <v>228</v>
      </c>
      <c r="W16" s="40">
        <v>7480</v>
      </c>
      <c r="X16" s="4" t="s">
        <v>33</v>
      </c>
      <c r="Y16" s="67" t="s">
        <v>392</v>
      </c>
      <c r="Z16" s="67"/>
      <c r="AB16" s="180">
        <v>45821</v>
      </c>
      <c r="AC16" s="4" t="s">
        <v>71</v>
      </c>
      <c r="AD16" s="179">
        <v>2720</v>
      </c>
      <c r="AE16" s="4" t="s">
        <v>200</v>
      </c>
      <c r="AF16" s="4"/>
      <c r="AG16" s="170"/>
      <c r="AI16" s="122"/>
      <c r="AJ16" s="4"/>
      <c r="AK16" s="40"/>
      <c r="AL16" s="67"/>
      <c r="AM16" s="67"/>
      <c r="AN16" s="67"/>
    </row>
    <row r="17" spans="1:40" x14ac:dyDescent="0.4">
      <c r="A17" s="225"/>
      <c r="B17" s="5" t="s">
        <v>100</v>
      </c>
      <c r="C17" s="4">
        <v>15</v>
      </c>
      <c r="D17" s="47">
        <f t="shared" ref="D17:P17" si="24">D42/10000</f>
        <v>1.2721</v>
      </c>
      <c r="E17" s="47">
        <f t="shared" si="24"/>
        <v>0</v>
      </c>
      <c r="F17" s="47">
        <f t="shared" si="24"/>
        <v>0</v>
      </c>
      <c r="G17" s="47">
        <f t="shared" si="24"/>
        <v>0</v>
      </c>
      <c r="H17" s="47">
        <f t="shared" si="24"/>
        <v>0</v>
      </c>
      <c r="I17" s="47">
        <f t="shared" si="24"/>
        <v>0</v>
      </c>
      <c r="J17" s="47">
        <f t="shared" si="24"/>
        <v>0</v>
      </c>
      <c r="K17" s="47">
        <f t="shared" si="24"/>
        <v>0</v>
      </c>
      <c r="L17" s="47">
        <f t="shared" si="24"/>
        <v>0</v>
      </c>
      <c r="M17" s="47">
        <f t="shared" si="24"/>
        <v>0</v>
      </c>
      <c r="N17" s="47">
        <f t="shared" si="24"/>
        <v>0</v>
      </c>
      <c r="O17" s="47">
        <f t="shared" si="24"/>
        <v>0</v>
      </c>
      <c r="P17" s="47">
        <f t="shared" si="24"/>
        <v>1.2721</v>
      </c>
      <c r="Q17" s="30">
        <f t="shared" si="1"/>
        <v>13.7279</v>
      </c>
      <c r="R17" s="53">
        <f t="shared" si="2"/>
        <v>8.4806666666666669E-2</v>
      </c>
      <c r="T17" s="42">
        <v>45703</v>
      </c>
      <c r="U17" s="46" t="str">
        <f t="shared" si="20"/>
        <v>2月</v>
      </c>
      <c r="V17" s="4" t="s">
        <v>208</v>
      </c>
      <c r="W17" s="40">
        <v>2788</v>
      </c>
      <c r="X17" s="46" t="s">
        <v>188</v>
      </c>
      <c r="Y17" s="67" t="s">
        <v>397</v>
      </c>
      <c r="Z17" s="67"/>
      <c r="AB17" s="169">
        <v>45821</v>
      </c>
      <c r="AC17" s="46" t="s">
        <v>71</v>
      </c>
      <c r="AD17" s="4">
        <v>650</v>
      </c>
      <c r="AE17" s="4" t="s">
        <v>200</v>
      </c>
      <c r="AF17" s="4"/>
      <c r="AG17" s="170"/>
      <c r="AI17" s="122"/>
      <c r="AJ17" s="4"/>
      <c r="AK17" s="40"/>
      <c r="AL17" s="67"/>
      <c r="AM17" s="67"/>
      <c r="AN17" s="67"/>
    </row>
    <row r="18" spans="1:40" x14ac:dyDescent="0.4">
      <c r="A18" s="225"/>
      <c r="B18" s="5" t="s">
        <v>156</v>
      </c>
      <c r="C18" s="4">
        <v>5</v>
      </c>
      <c r="D18" s="47">
        <f t="shared" ref="D18:P18" si="25">D43/10000</f>
        <v>0</v>
      </c>
      <c r="E18" s="47">
        <f t="shared" si="25"/>
        <v>0</v>
      </c>
      <c r="F18" s="47">
        <f t="shared" si="25"/>
        <v>0</v>
      </c>
      <c r="G18" s="47">
        <f t="shared" si="25"/>
        <v>0</v>
      </c>
      <c r="H18" s="47">
        <f t="shared" si="25"/>
        <v>0</v>
      </c>
      <c r="I18" s="47">
        <f t="shared" si="25"/>
        <v>0.96579999999999999</v>
      </c>
      <c r="J18" s="47">
        <f t="shared" si="25"/>
        <v>0</v>
      </c>
      <c r="K18" s="47">
        <f t="shared" si="25"/>
        <v>0</v>
      </c>
      <c r="L18" s="47">
        <f t="shared" si="25"/>
        <v>0</v>
      </c>
      <c r="M18" s="47">
        <f t="shared" si="25"/>
        <v>0</v>
      </c>
      <c r="N18" s="47">
        <f t="shared" si="25"/>
        <v>0</v>
      </c>
      <c r="O18" s="47">
        <f t="shared" si="25"/>
        <v>0</v>
      </c>
      <c r="P18" s="47">
        <f t="shared" si="25"/>
        <v>0.96579999999999999</v>
      </c>
      <c r="Q18" s="30">
        <f t="shared" si="1"/>
        <v>4.0342000000000002</v>
      </c>
      <c r="R18" s="53">
        <f t="shared" si="2"/>
        <v>0.19316</v>
      </c>
      <c r="T18" s="42">
        <v>45706</v>
      </c>
      <c r="U18" s="46" t="str">
        <f t="shared" si="20"/>
        <v>2月</v>
      </c>
      <c r="V18" s="4" t="s">
        <v>187</v>
      </c>
      <c r="W18" s="40">
        <v>34990</v>
      </c>
      <c r="X18" s="46" t="s">
        <v>188</v>
      </c>
      <c r="Y18" s="67" t="s">
        <v>398</v>
      </c>
      <c r="Z18" s="67"/>
      <c r="AB18" s="180">
        <v>45821</v>
      </c>
      <c r="AC18" s="4" t="s">
        <v>71</v>
      </c>
      <c r="AD18" s="4">
        <v>4720</v>
      </c>
      <c r="AE18" s="4" t="s">
        <v>200</v>
      </c>
      <c r="AF18" s="4"/>
      <c r="AG18" s="170"/>
      <c r="AI18" s="122"/>
      <c r="AJ18" s="4"/>
      <c r="AK18" s="40"/>
      <c r="AL18" s="67"/>
      <c r="AM18" s="67"/>
      <c r="AN18" s="67"/>
    </row>
    <row r="19" spans="1:40" x14ac:dyDescent="0.4">
      <c r="A19" s="225"/>
      <c r="B19" s="5" t="s">
        <v>146</v>
      </c>
      <c r="C19" s="4">
        <v>25</v>
      </c>
      <c r="D19" s="47">
        <f t="shared" ref="D19:P19" si="26">D44/10000</f>
        <v>1.5345</v>
      </c>
      <c r="E19" s="47">
        <f t="shared" si="26"/>
        <v>1.4850000000000001</v>
      </c>
      <c r="F19" s="47">
        <f t="shared" si="26"/>
        <v>2.6269999999999998</v>
      </c>
      <c r="G19" s="47">
        <f t="shared" si="26"/>
        <v>1.5872999999999999</v>
      </c>
      <c r="H19" s="47">
        <f t="shared" si="26"/>
        <v>2.504</v>
      </c>
      <c r="I19" s="47">
        <f t="shared" si="26"/>
        <v>1.518</v>
      </c>
      <c r="J19" s="47">
        <f t="shared" si="26"/>
        <v>2.0143</v>
      </c>
      <c r="K19" s="47">
        <f t="shared" si="26"/>
        <v>0.77</v>
      </c>
      <c r="L19" s="47">
        <f t="shared" si="26"/>
        <v>0</v>
      </c>
      <c r="M19" s="47">
        <f t="shared" si="26"/>
        <v>0</v>
      </c>
      <c r="N19" s="47">
        <f t="shared" si="26"/>
        <v>0</v>
      </c>
      <c r="O19" s="47">
        <f t="shared" si="26"/>
        <v>0</v>
      </c>
      <c r="P19" s="47">
        <f t="shared" si="26"/>
        <v>14.040100000000001</v>
      </c>
      <c r="Q19" s="30">
        <f t="shared" ref="Q19" si="27">C19-P19</f>
        <v>10.959899999999999</v>
      </c>
      <c r="R19" s="53">
        <f t="shared" si="2"/>
        <v>0.56160399999999999</v>
      </c>
      <c r="T19" s="42">
        <v>45707</v>
      </c>
      <c r="U19" s="46" t="str">
        <f t="shared" ref="U19" si="28">IF(ISBLANK(T19),"",MONTH(T19)&amp;"月")</f>
        <v>2月</v>
      </c>
      <c r="V19" s="4" t="s">
        <v>66</v>
      </c>
      <c r="W19" s="40">
        <f>1699*2</f>
        <v>3398</v>
      </c>
      <c r="X19" s="46" t="s">
        <v>188</v>
      </c>
      <c r="Y19" s="67" t="s">
        <v>399</v>
      </c>
      <c r="Z19" s="67"/>
      <c r="AB19" s="169">
        <v>45821</v>
      </c>
      <c r="AC19" s="46" t="s">
        <v>71</v>
      </c>
      <c r="AD19" s="4">
        <v>4500</v>
      </c>
      <c r="AE19" s="4" t="s">
        <v>200</v>
      </c>
      <c r="AF19" s="4"/>
      <c r="AG19" s="170"/>
      <c r="AI19" s="122"/>
      <c r="AJ19" s="4"/>
      <c r="AK19" s="40"/>
      <c r="AL19" s="67"/>
      <c r="AM19" s="67"/>
      <c r="AN19" s="67"/>
    </row>
    <row r="20" spans="1:40" x14ac:dyDescent="0.4">
      <c r="A20" s="225"/>
      <c r="B20" s="5" t="s">
        <v>134</v>
      </c>
      <c r="C20" s="4">
        <v>30</v>
      </c>
      <c r="D20" s="47">
        <f t="shared" ref="D20:P20" si="29">D45/10000</f>
        <v>0</v>
      </c>
      <c r="E20" s="47">
        <f t="shared" si="29"/>
        <v>10</v>
      </c>
      <c r="F20" s="47">
        <f t="shared" si="29"/>
        <v>0</v>
      </c>
      <c r="G20" s="47">
        <f t="shared" si="29"/>
        <v>15</v>
      </c>
      <c r="H20" s="47">
        <f t="shared" si="29"/>
        <v>0</v>
      </c>
      <c r="I20" s="47">
        <f t="shared" si="29"/>
        <v>0</v>
      </c>
      <c r="J20" s="47">
        <f t="shared" si="29"/>
        <v>10</v>
      </c>
      <c r="K20" s="47">
        <f t="shared" si="29"/>
        <v>0</v>
      </c>
      <c r="L20" s="47">
        <f t="shared" si="29"/>
        <v>0</v>
      </c>
      <c r="M20" s="47">
        <f t="shared" si="29"/>
        <v>0</v>
      </c>
      <c r="N20" s="47">
        <f t="shared" si="29"/>
        <v>0</v>
      </c>
      <c r="O20" s="47">
        <f t="shared" si="29"/>
        <v>0</v>
      </c>
      <c r="P20" s="47">
        <f t="shared" si="29"/>
        <v>35</v>
      </c>
      <c r="Q20" s="30">
        <f t="shared" si="1"/>
        <v>-5</v>
      </c>
      <c r="R20" s="53">
        <f t="shared" si="2"/>
        <v>1.1666666666666667</v>
      </c>
      <c r="T20" s="42">
        <v>45707</v>
      </c>
      <c r="U20" s="46" t="str">
        <f t="shared" ref="U20:U21" si="30">IF(ISBLANK(T20),"",MONTH(T20)&amp;"月")</f>
        <v>2月</v>
      </c>
      <c r="V20" s="4" t="s">
        <v>66</v>
      </c>
      <c r="W20" s="40">
        <v>1499</v>
      </c>
      <c r="X20" s="46" t="s">
        <v>188</v>
      </c>
      <c r="Y20" s="67" t="s">
        <v>399</v>
      </c>
      <c r="Z20" s="67"/>
      <c r="AB20" s="180">
        <v>45821</v>
      </c>
      <c r="AC20" s="4" t="s">
        <v>71</v>
      </c>
      <c r="AD20" s="4">
        <v>650</v>
      </c>
      <c r="AE20" s="4" t="s">
        <v>200</v>
      </c>
      <c r="AF20" s="4"/>
      <c r="AG20" s="170"/>
      <c r="AI20" s="122"/>
      <c r="AJ20" s="4"/>
      <c r="AK20" s="40"/>
      <c r="AL20" s="67"/>
      <c r="AM20" s="67"/>
      <c r="AN20" s="67"/>
    </row>
    <row r="21" spans="1:40" x14ac:dyDescent="0.4">
      <c r="A21" s="225"/>
      <c r="B21" s="5" t="s">
        <v>37</v>
      </c>
      <c r="C21" s="4">
        <v>10</v>
      </c>
      <c r="D21" s="47">
        <f t="shared" ref="D21:P21" si="31">D46/10000</f>
        <v>0</v>
      </c>
      <c r="E21" s="47">
        <f t="shared" si="31"/>
        <v>6.5</v>
      </c>
      <c r="F21" s="47">
        <f t="shared" si="31"/>
        <v>0</v>
      </c>
      <c r="G21" s="47">
        <f t="shared" si="31"/>
        <v>0</v>
      </c>
      <c r="H21" s="47">
        <f t="shared" si="31"/>
        <v>1.228</v>
      </c>
      <c r="I21" s="47">
        <f t="shared" si="31"/>
        <v>0.11</v>
      </c>
      <c r="J21" s="47">
        <f t="shared" si="31"/>
        <v>0</v>
      </c>
      <c r="K21" s="47">
        <f t="shared" si="31"/>
        <v>0</v>
      </c>
      <c r="L21" s="47">
        <f t="shared" si="31"/>
        <v>0</v>
      </c>
      <c r="M21" s="47">
        <f t="shared" si="31"/>
        <v>0</v>
      </c>
      <c r="N21" s="47">
        <f t="shared" si="31"/>
        <v>0</v>
      </c>
      <c r="O21" s="47">
        <f t="shared" si="31"/>
        <v>0</v>
      </c>
      <c r="P21" s="47">
        <f t="shared" si="31"/>
        <v>7.8380000000000001</v>
      </c>
      <c r="Q21" s="30">
        <f t="shared" si="1"/>
        <v>2.1619999999999999</v>
      </c>
      <c r="R21" s="53">
        <f t="shared" si="2"/>
        <v>0.78380000000000005</v>
      </c>
      <c r="T21" s="42">
        <v>45712</v>
      </c>
      <c r="U21" s="46" t="str">
        <f t="shared" si="30"/>
        <v>2月</v>
      </c>
      <c r="V21" s="4" t="s">
        <v>213</v>
      </c>
      <c r="W21" s="40">
        <v>65000</v>
      </c>
      <c r="X21" s="67" t="s">
        <v>37</v>
      </c>
      <c r="Y21" s="67" t="s">
        <v>400</v>
      </c>
      <c r="Z21" s="67"/>
      <c r="AB21" s="169">
        <v>45821</v>
      </c>
      <c r="AC21" s="46" t="s">
        <v>71</v>
      </c>
      <c r="AD21" s="4">
        <v>900</v>
      </c>
      <c r="AE21" s="4" t="s">
        <v>200</v>
      </c>
      <c r="AF21" s="4"/>
      <c r="AG21" s="170"/>
      <c r="AI21" s="122"/>
      <c r="AJ21" s="4"/>
      <c r="AK21" s="40"/>
      <c r="AL21" s="67"/>
      <c r="AM21" s="67"/>
      <c r="AN21" s="67"/>
    </row>
    <row r="22" spans="1:40" x14ac:dyDescent="0.4">
      <c r="A22" s="225"/>
      <c r="B22" s="10" t="s">
        <v>27</v>
      </c>
      <c r="C22" s="5">
        <f t="shared" ref="C22:O22" si="32">SUM(C14:C21)</f>
        <v>170</v>
      </c>
      <c r="D22" s="146">
        <f t="shared" si="32"/>
        <v>8.4274000000000004</v>
      </c>
      <c r="E22" s="146">
        <f t="shared" si="32"/>
        <v>28.759599999999999</v>
      </c>
      <c r="F22" s="146">
        <f t="shared" si="32"/>
        <v>4.4885000000000002</v>
      </c>
      <c r="G22" s="146">
        <f t="shared" si="32"/>
        <v>17.509</v>
      </c>
      <c r="H22" s="146">
        <f t="shared" si="32"/>
        <v>5.9420999999999999</v>
      </c>
      <c r="I22" s="146">
        <f t="shared" si="32"/>
        <v>10.162800000000001</v>
      </c>
      <c r="J22" s="146">
        <f t="shared" si="32"/>
        <v>16.390499999999999</v>
      </c>
      <c r="K22" s="146">
        <f t="shared" si="32"/>
        <v>0.77</v>
      </c>
      <c r="L22" s="146">
        <f t="shared" si="32"/>
        <v>0</v>
      </c>
      <c r="M22" s="146">
        <f t="shared" si="32"/>
        <v>0</v>
      </c>
      <c r="N22" s="146">
        <f t="shared" si="32"/>
        <v>0</v>
      </c>
      <c r="O22" s="146">
        <f t="shared" si="32"/>
        <v>0</v>
      </c>
      <c r="P22" s="33">
        <f t="shared" ref="P22" si="33">SUM(D22:O22)</f>
        <v>92.4499</v>
      </c>
      <c r="Q22" s="33">
        <f t="shared" si="1"/>
        <v>77.5501</v>
      </c>
      <c r="R22" s="57">
        <f t="shared" si="2"/>
        <v>0.54382294117647056</v>
      </c>
      <c r="T22" s="42">
        <v>45712</v>
      </c>
      <c r="U22" s="46" t="str">
        <f t="shared" ref="U22:U23" si="34">IF(ISBLANK(T22),"",MONTH(T22)&amp;"月")</f>
        <v>2月</v>
      </c>
      <c r="V22" s="4" t="s">
        <v>187</v>
      </c>
      <c r="W22" s="40">
        <v>60490</v>
      </c>
      <c r="X22" s="46" t="s">
        <v>188</v>
      </c>
      <c r="Y22" s="67" t="s">
        <v>401</v>
      </c>
      <c r="Z22" s="67"/>
      <c r="AB22" s="180">
        <v>45821</v>
      </c>
      <c r="AC22" s="4" t="s">
        <v>71</v>
      </c>
      <c r="AD22" s="4">
        <v>1850</v>
      </c>
      <c r="AE22" s="4" t="s">
        <v>200</v>
      </c>
      <c r="AF22" s="4"/>
      <c r="AG22" s="170"/>
      <c r="AI22" s="122"/>
      <c r="AJ22" s="4"/>
      <c r="AK22" s="40"/>
      <c r="AL22" s="67"/>
      <c r="AM22" s="67"/>
      <c r="AN22" s="67"/>
    </row>
    <row r="23" spans="1:40" x14ac:dyDescent="0.4">
      <c r="A23" s="192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194"/>
      <c r="R23" s="195"/>
      <c r="T23" s="42">
        <v>45716</v>
      </c>
      <c r="U23" s="46" t="str">
        <f t="shared" si="34"/>
        <v>2月</v>
      </c>
      <c r="V23" s="4" t="s">
        <v>217</v>
      </c>
      <c r="W23" s="40">
        <v>2200</v>
      </c>
      <c r="X23" s="67" t="s">
        <v>218</v>
      </c>
      <c r="Y23" s="67" t="s">
        <v>442</v>
      </c>
      <c r="Z23" s="67"/>
      <c r="AB23" s="169">
        <v>45821</v>
      </c>
      <c r="AC23" s="46" t="s">
        <v>71</v>
      </c>
      <c r="AD23" s="4">
        <v>230</v>
      </c>
      <c r="AE23" s="4" t="s">
        <v>200</v>
      </c>
      <c r="AF23" s="4"/>
      <c r="AG23" s="170"/>
      <c r="AI23" s="122"/>
      <c r="AJ23" s="4"/>
      <c r="AK23" s="40"/>
      <c r="AL23" s="67"/>
      <c r="AM23" s="67"/>
      <c r="AN23" s="67"/>
    </row>
    <row r="24" spans="1:40" x14ac:dyDescent="0.4">
      <c r="A24" t="s">
        <v>437</v>
      </c>
      <c r="T24" s="42">
        <v>45716</v>
      </c>
      <c r="U24" s="46" t="str">
        <f t="shared" ref="U24:U32" si="35">IF(ISBLANK(T24),"",MONTH(T24)&amp;"月")</f>
        <v>2月</v>
      </c>
      <c r="V24" s="4" t="s">
        <v>217</v>
      </c>
      <c r="W24" s="40">
        <v>22620</v>
      </c>
      <c r="X24" s="67" t="s">
        <v>28</v>
      </c>
      <c r="Y24" s="67" t="s">
        <v>219</v>
      </c>
      <c r="Z24" s="67"/>
      <c r="AB24" s="180">
        <v>45821</v>
      </c>
      <c r="AC24" s="4" t="s">
        <v>71</v>
      </c>
      <c r="AD24" s="4">
        <f>28480+4000</f>
        <v>32480</v>
      </c>
      <c r="AE24" s="4" t="s">
        <v>200</v>
      </c>
      <c r="AF24" s="4"/>
      <c r="AG24" s="170"/>
      <c r="AI24" s="122"/>
      <c r="AJ24" s="4"/>
      <c r="AK24" s="40"/>
      <c r="AL24" s="67"/>
      <c r="AM24" s="67"/>
      <c r="AN24" s="67"/>
    </row>
    <row r="25" spans="1:40" ht="19.5" customHeight="1" thickBot="1" x14ac:dyDescent="0.45">
      <c r="A25" s="234" t="s">
        <v>32</v>
      </c>
      <c r="B25" s="235"/>
      <c r="C25" s="44" t="s">
        <v>155</v>
      </c>
      <c r="D25" s="44" t="s">
        <v>76</v>
      </c>
      <c r="E25" s="44" t="s">
        <v>77</v>
      </c>
      <c r="F25" s="44" t="s">
        <v>78</v>
      </c>
      <c r="G25" s="44" t="s">
        <v>79</v>
      </c>
      <c r="H25" s="44" t="s">
        <v>80</v>
      </c>
      <c r="I25" s="44" t="s">
        <v>81</v>
      </c>
      <c r="J25" s="44" t="s">
        <v>82</v>
      </c>
      <c r="K25" s="44" t="s">
        <v>83</v>
      </c>
      <c r="L25" s="44" t="s">
        <v>84</v>
      </c>
      <c r="M25" s="44" t="s">
        <v>85</v>
      </c>
      <c r="N25" s="44" t="s">
        <v>86</v>
      </c>
      <c r="O25" s="44" t="s">
        <v>87</v>
      </c>
      <c r="P25" s="44" t="s">
        <v>99</v>
      </c>
      <c r="T25" s="42">
        <v>45716</v>
      </c>
      <c r="U25" s="46" t="str">
        <f t="shared" ref="U25" si="36">IF(ISBLANK(T25),"",MONTH(T25)&amp;"月")</f>
        <v>2月</v>
      </c>
      <c r="V25" s="4" t="s">
        <v>214</v>
      </c>
      <c r="W25" s="40">
        <v>100000</v>
      </c>
      <c r="X25" s="46" t="s">
        <v>136</v>
      </c>
      <c r="Y25" s="67" t="s">
        <v>416</v>
      </c>
      <c r="Z25" s="67"/>
      <c r="AB25" s="169">
        <v>45821</v>
      </c>
      <c r="AC25" s="46" t="s">
        <v>71</v>
      </c>
      <c r="AD25" s="4">
        <v>320</v>
      </c>
      <c r="AE25" s="4" t="s">
        <v>200</v>
      </c>
      <c r="AF25" s="4"/>
      <c r="AG25" s="170"/>
      <c r="AI25" s="122"/>
      <c r="AJ25" s="4"/>
      <c r="AK25" s="40"/>
      <c r="AL25" s="67"/>
      <c r="AM25" s="67"/>
      <c r="AN25" s="67"/>
    </row>
    <row r="26" spans="1:40" ht="19.5" customHeight="1" thickTop="1" x14ac:dyDescent="0.4">
      <c r="A26" s="231" t="s">
        <v>30</v>
      </c>
      <c r="B26" s="105" t="s">
        <v>130</v>
      </c>
      <c r="C26" s="136">
        <f t="shared" ref="C26:C66" si="37">P26/$P$30</f>
        <v>0.71909577022615634</v>
      </c>
      <c r="D26" s="113">
        <f>'2025年予実'!J3</f>
        <v>791729</v>
      </c>
      <c r="E26" s="113">
        <f>'2025年予実'!M3</f>
        <v>587715</v>
      </c>
      <c r="F26" s="113">
        <f>'2025年予実'!P3</f>
        <v>593105</v>
      </c>
      <c r="G26" s="113">
        <f>'2025年予実'!S3</f>
        <v>573705</v>
      </c>
      <c r="H26" s="113">
        <f>'2025年予実'!V3</f>
        <v>720719</v>
      </c>
      <c r="I26" s="113">
        <f>'2025年予実'!Y3</f>
        <v>469763</v>
      </c>
      <c r="J26" s="113">
        <f>'2025年予実'!AB3</f>
        <v>478904</v>
      </c>
      <c r="K26" s="113">
        <f>'2025年予実'!AE3</f>
        <v>512931</v>
      </c>
      <c r="L26" s="113">
        <f>'2025年予実'!AH3</f>
        <v>0</v>
      </c>
      <c r="M26" s="113">
        <f>'2025年予実'!AK3</f>
        <v>0</v>
      </c>
      <c r="N26" s="113">
        <f>'2025年予実'!AN3</f>
        <v>0</v>
      </c>
      <c r="O26" s="113">
        <f>'2025年予実'!AQ3</f>
        <v>0</v>
      </c>
      <c r="P26" s="113">
        <f t="shared" ref="P26:P31" si="38">SUM(D26:O26)</f>
        <v>4728571</v>
      </c>
      <c r="T26" s="42">
        <v>45720</v>
      </c>
      <c r="U26" s="46" t="str">
        <f t="shared" si="35"/>
        <v>3月</v>
      </c>
      <c r="V26" s="4" t="s">
        <v>229</v>
      </c>
      <c r="W26" s="40">
        <v>7370</v>
      </c>
      <c r="X26" s="4" t="s">
        <v>33</v>
      </c>
      <c r="Y26" s="67" t="s">
        <v>390</v>
      </c>
      <c r="Z26" s="67"/>
      <c r="AB26" s="181">
        <v>45822</v>
      </c>
      <c r="AC26" s="4" t="s">
        <v>269</v>
      </c>
      <c r="AD26" s="4">
        <v>4000</v>
      </c>
      <c r="AE26" s="4" t="s">
        <v>200</v>
      </c>
      <c r="AF26" s="4"/>
      <c r="AG26" s="170"/>
      <c r="AI26" s="122"/>
      <c r="AJ26" s="4"/>
      <c r="AK26" s="40"/>
      <c r="AL26" s="67"/>
      <c r="AM26" s="67"/>
      <c r="AN26" s="67"/>
    </row>
    <row r="27" spans="1:40" ht="18.75" customHeight="1" x14ac:dyDescent="0.4">
      <c r="A27" s="232"/>
      <c r="B27" s="106" t="s">
        <v>40</v>
      </c>
      <c r="C27" s="129">
        <f t="shared" si="37"/>
        <v>0.17572864286455106</v>
      </c>
      <c r="D27" s="100">
        <v>0</v>
      </c>
      <c r="E27" s="100">
        <v>0</v>
      </c>
      <c r="F27" s="100">
        <v>0</v>
      </c>
      <c r="G27" s="100">
        <v>0</v>
      </c>
      <c r="H27" s="100">
        <v>0</v>
      </c>
      <c r="I27" s="100">
        <v>1155542</v>
      </c>
      <c r="J27" s="100">
        <v>0</v>
      </c>
      <c r="K27" s="100">
        <v>0</v>
      </c>
      <c r="L27" s="100">
        <v>0</v>
      </c>
      <c r="M27" s="100">
        <v>0</v>
      </c>
      <c r="N27" s="100">
        <v>0</v>
      </c>
      <c r="O27" s="100">
        <v>0</v>
      </c>
      <c r="P27" s="100">
        <f t="shared" si="38"/>
        <v>1155542</v>
      </c>
      <c r="T27" s="42">
        <v>45725</v>
      </c>
      <c r="U27" s="46" t="str">
        <f t="shared" si="35"/>
        <v>3月</v>
      </c>
      <c r="V27" s="4" t="s">
        <v>230</v>
      </c>
      <c r="W27" s="40">
        <v>2780</v>
      </c>
      <c r="X27" s="46" t="s">
        <v>188</v>
      </c>
      <c r="Y27" s="67" t="s">
        <v>396</v>
      </c>
      <c r="Z27" s="67"/>
      <c r="AB27" s="181">
        <v>45822</v>
      </c>
      <c r="AC27" s="4" t="s">
        <v>269</v>
      </c>
      <c r="AD27" s="4">
        <v>860</v>
      </c>
      <c r="AE27" s="4" t="s">
        <v>200</v>
      </c>
      <c r="AF27" s="4"/>
      <c r="AG27" s="170"/>
      <c r="AI27" s="122"/>
      <c r="AJ27" s="4"/>
      <c r="AK27" s="40"/>
      <c r="AL27" s="67"/>
      <c r="AM27" s="67"/>
      <c r="AN27" s="67"/>
    </row>
    <row r="28" spans="1:40" ht="18.75" customHeight="1" x14ac:dyDescent="0.4">
      <c r="A28" s="232"/>
      <c r="B28" s="107" t="s">
        <v>31</v>
      </c>
      <c r="C28" s="130">
        <f t="shared" si="37"/>
        <v>6.5955839347125289E-2</v>
      </c>
      <c r="D28" s="101">
        <v>37053</v>
      </c>
      <c r="E28" s="101">
        <v>22760</v>
      </c>
      <c r="F28" s="101">
        <v>57249</v>
      </c>
      <c r="G28" s="101">
        <v>26932</v>
      </c>
      <c r="H28" s="101">
        <v>36982</v>
      </c>
      <c r="I28" s="101">
        <v>219713</v>
      </c>
      <c r="J28" s="101">
        <v>33018</v>
      </c>
      <c r="K28" s="101"/>
      <c r="L28" s="101"/>
      <c r="M28" s="101"/>
      <c r="N28" s="101"/>
      <c r="O28" s="101"/>
      <c r="P28" s="101">
        <f t="shared" si="38"/>
        <v>433707</v>
      </c>
      <c r="T28" s="42">
        <v>45726</v>
      </c>
      <c r="U28" s="46" t="str">
        <f t="shared" si="35"/>
        <v>3月</v>
      </c>
      <c r="V28" s="4" t="s">
        <v>231</v>
      </c>
      <c r="W28" s="40">
        <v>4737</v>
      </c>
      <c r="X28" s="46" t="s">
        <v>232</v>
      </c>
      <c r="Y28" s="67" t="s">
        <v>402</v>
      </c>
      <c r="Z28" s="67"/>
      <c r="AB28" s="181">
        <v>45822</v>
      </c>
      <c r="AC28" s="4" t="s">
        <v>72</v>
      </c>
      <c r="AD28" s="4">
        <v>3000</v>
      </c>
      <c r="AE28" s="4" t="s">
        <v>200</v>
      </c>
      <c r="AF28" s="4"/>
      <c r="AG28" s="170"/>
      <c r="AI28" s="122"/>
      <c r="AJ28" s="4"/>
      <c r="AK28" s="40"/>
      <c r="AL28" s="67"/>
      <c r="AM28" s="67"/>
      <c r="AN28" s="67"/>
    </row>
    <row r="29" spans="1:40" ht="19.5" customHeight="1" x14ac:dyDescent="0.4">
      <c r="A29" s="232"/>
      <c r="B29" s="107" t="s">
        <v>101</v>
      </c>
      <c r="C29" s="130">
        <f t="shared" si="37"/>
        <v>3.9219747562167354E-2</v>
      </c>
      <c r="D29" s="101">
        <f>52769+40000</f>
        <v>92769</v>
      </c>
      <c r="E29" s="101">
        <f>3000+28171</f>
        <v>31171</v>
      </c>
      <c r="F29" s="101">
        <f>56830</f>
        <v>56830</v>
      </c>
      <c r="G29" s="101">
        <v>77128</v>
      </c>
      <c r="H29" s="101">
        <v>0</v>
      </c>
      <c r="I29" s="101">
        <v>0</v>
      </c>
      <c r="J29" s="100">
        <v>0</v>
      </c>
      <c r="K29" s="100">
        <v>0</v>
      </c>
      <c r="L29" s="100">
        <v>0</v>
      </c>
      <c r="M29" s="100">
        <v>0</v>
      </c>
      <c r="N29" s="100">
        <v>0</v>
      </c>
      <c r="O29" s="100">
        <v>0</v>
      </c>
      <c r="P29" s="101">
        <f t="shared" si="38"/>
        <v>257898</v>
      </c>
      <c r="T29" s="42">
        <v>45728</v>
      </c>
      <c r="U29" s="46" t="str">
        <f>IF(ISBLANK(T29),"",MONTH(T29)&amp;"月")</f>
        <v>3月</v>
      </c>
      <c r="V29" s="4" t="s">
        <v>67</v>
      </c>
      <c r="W29" s="40">
        <v>630</v>
      </c>
      <c r="X29" s="46" t="s">
        <v>218</v>
      </c>
      <c r="Y29" s="67" t="s">
        <v>403</v>
      </c>
      <c r="Z29" s="67"/>
      <c r="AB29" s="181">
        <v>45822</v>
      </c>
      <c r="AC29" s="4" t="s">
        <v>72</v>
      </c>
      <c r="AD29" s="4">
        <v>6160</v>
      </c>
      <c r="AE29" s="4" t="s">
        <v>200</v>
      </c>
      <c r="AF29" s="4"/>
      <c r="AG29" s="170"/>
      <c r="AI29" s="122"/>
      <c r="AJ29" s="4"/>
      <c r="AK29" s="40"/>
      <c r="AL29" s="67"/>
      <c r="AM29" s="67"/>
      <c r="AN29" s="67"/>
    </row>
    <row r="30" spans="1:40" ht="20.25" customHeight="1" thickBot="1" x14ac:dyDescent="0.45">
      <c r="A30" s="233"/>
      <c r="B30" s="108" t="s">
        <v>99</v>
      </c>
      <c r="C30" s="128">
        <f t="shared" si="37"/>
        <v>1</v>
      </c>
      <c r="D30" s="125">
        <f t="shared" ref="D30:O30" si="39">SUM(D26:D29)</f>
        <v>921551</v>
      </c>
      <c r="E30" s="125">
        <f t="shared" si="39"/>
        <v>641646</v>
      </c>
      <c r="F30" s="125">
        <f t="shared" si="39"/>
        <v>707184</v>
      </c>
      <c r="G30" s="125">
        <f t="shared" si="39"/>
        <v>677765</v>
      </c>
      <c r="H30" s="125">
        <f t="shared" si="39"/>
        <v>757701</v>
      </c>
      <c r="I30" s="125">
        <f t="shared" si="39"/>
        <v>1845018</v>
      </c>
      <c r="J30" s="125">
        <f t="shared" si="39"/>
        <v>511922</v>
      </c>
      <c r="K30" s="125">
        <f t="shared" si="39"/>
        <v>512931</v>
      </c>
      <c r="L30" s="125">
        <f t="shared" si="39"/>
        <v>0</v>
      </c>
      <c r="M30" s="125">
        <f t="shared" si="39"/>
        <v>0</v>
      </c>
      <c r="N30" s="125">
        <f t="shared" si="39"/>
        <v>0</v>
      </c>
      <c r="O30" s="125">
        <f t="shared" si="39"/>
        <v>0</v>
      </c>
      <c r="P30" s="125">
        <f t="shared" si="38"/>
        <v>6575718</v>
      </c>
      <c r="T30" s="42">
        <v>45729</v>
      </c>
      <c r="U30" s="46" t="str">
        <f>IF(ISBLANK(T30),"",MONTH(T30)&amp;"月")</f>
        <v>3月</v>
      </c>
      <c r="V30" s="4" t="s">
        <v>235</v>
      </c>
      <c r="W30" s="40">
        <v>7480</v>
      </c>
      <c r="X30" s="4" t="s">
        <v>33</v>
      </c>
      <c r="Y30" s="67" t="s">
        <v>392</v>
      </c>
      <c r="Z30" s="67"/>
      <c r="AB30" s="181">
        <v>45822</v>
      </c>
      <c r="AC30" s="4" t="s">
        <v>72</v>
      </c>
      <c r="AD30" s="4">
        <v>2400</v>
      </c>
      <c r="AE30" s="4" t="s">
        <v>200</v>
      </c>
      <c r="AF30" s="4"/>
      <c r="AG30" s="170"/>
      <c r="AI30" s="122"/>
      <c r="AJ30" s="4"/>
      <c r="AK30" s="40"/>
      <c r="AL30" s="67"/>
      <c r="AM30" s="67"/>
      <c r="AN30" s="67"/>
    </row>
    <row r="31" spans="1:40" ht="19.5" customHeight="1" thickTop="1" x14ac:dyDescent="0.4">
      <c r="A31" s="226" t="s">
        <v>34</v>
      </c>
      <c r="B31" s="45" t="s">
        <v>103</v>
      </c>
      <c r="C31" s="129">
        <f t="shared" si="37"/>
        <v>6.6753166726432004E-3</v>
      </c>
      <c r="D31" s="100">
        <f t="shared" ref="D31:O37" si="40">SUMIFS($W$3:$W$213,$U$3:$U$213,D$25,$X$3:$X$213,$B31)</f>
        <v>0</v>
      </c>
      <c r="E31" s="100">
        <f t="shared" si="40"/>
        <v>2200</v>
      </c>
      <c r="F31" s="100">
        <f t="shared" si="40"/>
        <v>6417</v>
      </c>
      <c r="G31" s="100">
        <f t="shared" si="40"/>
        <v>27856</v>
      </c>
      <c r="H31" s="100">
        <f t="shared" si="40"/>
        <v>0</v>
      </c>
      <c r="I31" s="100">
        <f t="shared" si="40"/>
        <v>1640</v>
      </c>
      <c r="J31" s="100">
        <f t="shared" si="40"/>
        <v>5782</v>
      </c>
      <c r="K31" s="100">
        <f t="shared" si="40"/>
        <v>0</v>
      </c>
      <c r="L31" s="100">
        <f t="shared" si="40"/>
        <v>0</v>
      </c>
      <c r="M31" s="100">
        <f t="shared" si="40"/>
        <v>0</v>
      </c>
      <c r="N31" s="100">
        <f t="shared" si="40"/>
        <v>0</v>
      </c>
      <c r="O31" s="100">
        <f t="shared" si="40"/>
        <v>0</v>
      </c>
      <c r="P31" s="100">
        <f t="shared" si="38"/>
        <v>43895</v>
      </c>
      <c r="T31" s="42">
        <v>45731</v>
      </c>
      <c r="U31" s="46" t="str">
        <f t="shared" si="35"/>
        <v>3月</v>
      </c>
      <c r="V31" s="4" t="s">
        <v>234</v>
      </c>
      <c r="W31" s="40">
        <v>1050</v>
      </c>
      <c r="X31" s="46" t="s">
        <v>218</v>
      </c>
      <c r="Y31" s="4" t="s">
        <v>404</v>
      </c>
      <c r="Z31" s="4"/>
      <c r="AB31" s="181">
        <v>45822</v>
      </c>
      <c r="AC31" s="4" t="s">
        <v>72</v>
      </c>
      <c r="AD31" s="4">
        <v>1080</v>
      </c>
      <c r="AE31" s="4" t="s">
        <v>200</v>
      </c>
      <c r="AF31" s="4"/>
      <c r="AG31" s="170"/>
      <c r="AI31" s="122"/>
      <c r="AJ31" s="4"/>
      <c r="AK31" s="40"/>
      <c r="AL31" s="67"/>
      <c r="AM31" s="67"/>
      <c r="AN31" s="67"/>
    </row>
    <row r="32" spans="1:40" ht="19.5" customHeight="1" x14ac:dyDescent="0.4">
      <c r="A32" s="227"/>
      <c r="B32" s="9" t="s">
        <v>28</v>
      </c>
      <c r="C32" s="130">
        <f t="shared" si="37"/>
        <v>3.4399285370814259E-3</v>
      </c>
      <c r="D32" s="100">
        <f t="shared" si="40"/>
        <v>0</v>
      </c>
      <c r="E32" s="100">
        <f t="shared" si="40"/>
        <v>22620</v>
      </c>
      <c r="F32" s="100">
        <f t="shared" si="40"/>
        <v>0</v>
      </c>
      <c r="G32" s="100">
        <f t="shared" si="40"/>
        <v>0</v>
      </c>
      <c r="H32" s="100">
        <f t="shared" si="40"/>
        <v>0</v>
      </c>
      <c r="I32" s="100">
        <f t="shared" si="40"/>
        <v>0</v>
      </c>
      <c r="J32" s="100">
        <f t="shared" si="40"/>
        <v>0</v>
      </c>
      <c r="K32" s="100">
        <f t="shared" si="40"/>
        <v>0</v>
      </c>
      <c r="L32" s="100">
        <f t="shared" si="40"/>
        <v>0</v>
      </c>
      <c r="M32" s="100">
        <f t="shared" si="40"/>
        <v>0</v>
      </c>
      <c r="N32" s="100">
        <f t="shared" si="40"/>
        <v>0</v>
      </c>
      <c r="O32" s="100">
        <f t="shared" si="40"/>
        <v>0</v>
      </c>
      <c r="P32" s="101">
        <f t="shared" ref="P32:P34" si="41">SUM(D32:O32)</f>
        <v>22620</v>
      </c>
      <c r="T32" s="42">
        <v>45731</v>
      </c>
      <c r="U32" s="46" t="str">
        <f t="shared" si="35"/>
        <v>3月</v>
      </c>
      <c r="V32" s="4" t="s">
        <v>178</v>
      </c>
      <c r="W32" s="40">
        <v>20000</v>
      </c>
      <c r="X32" s="67" t="s">
        <v>189</v>
      </c>
      <c r="Y32" s="67" t="s">
        <v>405</v>
      </c>
      <c r="Z32" s="67"/>
      <c r="AB32" s="181">
        <v>45822</v>
      </c>
      <c r="AC32" s="4" t="s">
        <v>72</v>
      </c>
      <c r="AD32" s="4">
        <v>700</v>
      </c>
      <c r="AE32" s="4" t="s">
        <v>200</v>
      </c>
      <c r="AF32" s="4"/>
      <c r="AG32" s="170"/>
      <c r="AI32" s="122"/>
      <c r="AJ32" s="4"/>
      <c r="AK32" s="40"/>
      <c r="AL32" s="67"/>
      <c r="AM32" s="67"/>
      <c r="AN32" s="67"/>
    </row>
    <row r="33" spans="1:40" x14ac:dyDescent="0.4">
      <c r="A33" s="227"/>
      <c r="B33" s="9" t="s">
        <v>135</v>
      </c>
      <c r="C33" s="130">
        <f t="shared" si="37"/>
        <v>0</v>
      </c>
      <c r="D33" s="100">
        <f t="shared" si="40"/>
        <v>0</v>
      </c>
      <c r="E33" s="100">
        <f t="shared" si="40"/>
        <v>0</v>
      </c>
      <c r="F33" s="100">
        <f t="shared" si="40"/>
        <v>0</v>
      </c>
      <c r="G33" s="100">
        <f t="shared" si="40"/>
        <v>0</v>
      </c>
      <c r="H33" s="100">
        <f t="shared" si="40"/>
        <v>0</v>
      </c>
      <c r="I33" s="100">
        <f t="shared" si="40"/>
        <v>0</v>
      </c>
      <c r="J33" s="100">
        <f t="shared" si="40"/>
        <v>0</v>
      </c>
      <c r="K33" s="100">
        <f t="shared" si="40"/>
        <v>0</v>
      </c>
      <c r="L33" s="100">
        <f t="shared" si="40"/>
        <v>0</v>
      </c>
      <c r="M33" s="100">
        <f t="shared" si="40"/>
        <v>0</v>
      </c>
      <c r="N33" s="100">
        <f t="shared" si="40"/>
        <v>0</v>
      </c>
      <c r="O33" s="100">
        <f t="shared" si="40"/>
        <v>0</v>
      </c>
      <c r="P33" s="101">
        <f t="shared" si="41"/>
        <v>0</v>
      </c>
      <c r="T33" s="42">
        <v>45368</v>
      </c>
      <c r="U33" s="46" t="str">
        <f t="shared" ref="U33:U34" si="42">IF(ISBLANK(T33),"",MONTH(T33)&amp;"月")</f>
        <v>3月</v>
      </c>
      <c r="V33" s="4" t="s">
        <v>187</v>
      </c>
      <c r="W33" s="40">
        <v>2027</v>
      </c>
      <c r="X33" s="4" t="s">
        <v>107</v>
      </c>
      <c r="Y33" s="67" t="s">
        <v>406</v>
      </c>
      <c r="Z33" s="67"/>
      <c r="AB33" s="181">
        <v>45822</v>
      </c>
      <c r="AC33" s="4" t="s">
        <v>72</v>
      </c>
      <c r="AD33" s="4">
        <v>648</v>
      </c>
      <c r="AE33" s="4" t="s">
        <v>200</v>
      </c>
      <c r="AF33" s="4"/>
      <c r="AG33" s="170"/>
      <c r="AI33" s="122"/>
      <c r="AJ33" s="4"/>
      <c r="AK33" s="40"/>
      <c r="AL33" s="4"/>
      <c r="AM33" s="67"/>
      <c r="AN33" s="67"/>
    </row>
    <row r="34" spans="1:40" x14ac:dyDescent="0.4">
      <c r="A34" s="227"/>
      <c r="B34" s="9" t="s">
        <v>54</v>
      </c>
      <c r="C34" s="130">
        <f t="shared" si="37"/>
        <v>3.0057402096622755E-2</v>
      </c>
      <c r="D34" s="100">
        <f t="shared" si="40"/>
        <v>177649</v>
      </c>
      <c r="E34" s="100">
        <f t="shared" si="40"/>
        <v>0</v>
      </c>
      <c r="F34" s="100">
        <f t="shared" si="40"/>
        <v>20000</v>
      </c>
      <c r="G34" s="100">
        <f t="shared" si="40"/>
        <v>0</v>
      </c>
      <c r="H34" s="100">
        <f t="shared" si="40"/>
        <v>0</v>
      </c>
      <c r="I34" s="100">
        <f t="shared" si="40"/>
        <v>0</v>
      </c>
      <c r="J34" s="100">
        <f t="shared" si="40"/>
        <v>0</v>
      </c>
      <c r="K34" s="100">
        <f t="shared" si="40"/>
        <v>0</v>
      </c>
      <c r="L34" s="100">
        <f t="shared" si="40"/>
        <v>0</v>
      </c>
      <c r="M34" s="100">
        <f t="shared" si="40"/>
        <v>0</v>
      </c>
      <c r="N34" s="100">
        <f t="shared" si="40"/>
        <v>0</v>
      </c>
      <c r="O34" s="100">
        <f t="shared" si="40"/>
        <v>0</v>
      </c>
      <c r="P34" s="101">
        <f t="shared" si="41"/>
        <v>197649</v>
      </c>
      <c r="T34" s="42">
        <v>45744</v>
      </c>
      <c r="U34" s="46" t="str">
        <f t="shared" si="42"/>
        <v>3月</v>
      </c>
      <c r="V34" s="4" t="s">
        <v>71</v>
      </c>
      <c r="W34" s="40">
        <f>14970-3550</f>
        <v>11420</v>
      </c>
      <c r="X34" s="4" t="s">
        <v>33</v>
      </c>
      <c r="Y34" s="67" t="s">
        <v>326</v>
      </c>
      <c r="Z34" s="67"/>
      <c r="AB34" s="181">
        <v>45822</v>
      </c>
      <c r="AC34" s="4" t="s">
        <v>72</v>
      </c>
      <c r="AD34" s="4">
        <v>1470</v>
      </c>
      <c r="AE34" s="4" t="s">
        <v>200</v>
      </c>
      <c r="AF34" s="4"/>
      <c r="AG34" s="170"/>
      <c r="AI34" s="122"/>
      <c r="AJ34" s="4"/>
      <c r="AK34" s="40"/>
      <c r="AL34" s="4"/>
      <c r="AM34" s="67"/>
      <c r="AN34" s="67"/>
    </row>
    <row r="35" spans="1:40" ht="19.5" thickBot="1" x14ac:dyDescent="0.45">
      <c r="A35" s="227"/>
      <c r="B35" s="9" t="s">
        <v>38</v>
      </c>
      <c r="C35" s="130">
        <f t="shared" si="37"/>
        <v>2.0758189447905155E-3</v>
      </c>
      <c r="D35" s="100">
        <f t="shared" si="40"/>
        <v>13650</v>
      </c>
      <c r="E35" s="100">
        <f t="shared" si="40"/>
        <v>0</v>
      </c>
      <c r="F35" s="100">
        <f t="shared" si="40"/>
        <v>0</v>
      </c>
      <c r="G35" s="100">
        <f t="shared" si="40"/>
        <v>0</v>
      </c>
      <c r="H35" s="100">
        <f t="shared" si="40"/>
        <v>0</v>
      </c>
      <c r="I35" s="100">
        <f t="shared" si="40"/>
        <v>0</v>
      </c>
      <c r="J35" s="100">
        <f t="shared" si="40"/>
        <v>0</v>
      </c>
      <c r="K35" s="100">
        <f t="shared" si="40"/>
        <v>0</v>
      </c>
      <c r="L35" s="100">
        <f t="shared" si="40"/>
        <v>0</v>
      </c>
      <c r="M35" s="100">
        <f t="shared" si="40"/>
        <v>0</v>
      </c>
      <c r="N35" s="100">
        <f t="shared" si="40"/>
        <v>0</v>
      </c>
      <c r="O35" s="100">
        <f t="shared" si="40"/>
        <v>0</v>
      </c>
      <c r="P35" s="101">
        <f t="shared" ref="P35" si="43">SUM(D35:O35)</f>
        <v>13650</v>
      </c>
      <c r="T35" s="42">
        <v>45745</v>
      </c>
      <c r="U35" s="46" t="str">
        <f t="shared" ref="U35" si="44">IF(ISBLANK(T35),"",MONTH(T35)&amp;"月")</f>
        <v>3月</v>
      </c>
      <c r="V35" s="4" t="s">
        <v>178</v>
      </c>
      <c r="W35" s="40">
        <v>4880</v>
      </c>
      <c r="X35" s="46" t="s">
        <v>188</v>
      </c>
      <c r="Y35" s="67" t="s">
        <v>407</v>
      </c>
      <c r="Z35" s="67"/>
      <c r="AB35" s="182">
        <v>45822</v>
      </c>
      <c r="AC35" s="174" t="s">
        <v>72</v>
      </c>
      <c r="AD35" s="183">
        <v>2720</v>
      </c>
      <c r="AE35" s="174" t="s">
        <v>200</v>
      </c>
      <c r="AF35" s="174"/>
      <c r="AG35" s="176"/>
      <c r="AI35" s="122"/>
      <c r="AJ35" s="4"/>
      <c r="AK35" s="40"/>
      <c r="AL35" s="4"/>
      <c r="AM35" s="67"/>
      <c r="AN35" s="67"/>
    </row>
    <row r="36" spans="1:40" x14ac:dyDescent="0.4">
      <c r="A36" s="227"/>
      <c r="B36" s="9" t="s">
        <v>118</v>
      </c>
      <c r="C36" s="130">
        <f t="shared" si="37"/>
        <v>0</v>
      </c>
      <c r="D36" s="100">
        <f t="shared" si="40"/>
        <v>0</v>
      </c>
      <c r="E36" s="100">
        <f t="shared" si="40"/>
        <v>0</v>
      </c>
      <c r="F36" s="100">
        <f t="shared" si="40"/>
        <v>0</v>
      </c>
      <c r="G36" s="100">
        <f t="shared" si="40"/>
        <v>0</v>
      </c>
      <c r="H36" s="100">
        <f t="shared" si="40"/>
        <v>0</v>
      </c>
      <c r="I36" s="100">
        <f t="shared" si="40"/>
        <v>0</v>
      </c>
      <c r="J36" s="100">
        <f t="shared" si="40"/>
        <v>0</v>
      </c>
      <c r="K36" s="100">
        <f t="shared" si="40"/>
        <v>0</v>
      </c>
      <c r="L36" s="100">
        <f t="shared" si="40"/>
        <v>0</v>
      </c>
      <c r="M36" s="100">
        <f t="shared" si="40"/>
        <v>0</v>
      </c>
      <c r="N36" s="100">
        <f t="shared" si="40"/>
        <v>0</v>
      </c>
      <c r="O36" s="100">
        <f t="shared" si="40"/>
        <v>0</v>
      </c>
      <c r="P36" s="101">
        <f t="shared" ref="P36:P37" si="45">SUM(D36:O36)</f>
        <v>0</v>
      </c>
      <c r="T36" s="42">
        <v>45745</v>
      </c>
      <c r="U36" s="46" t="str">
        <f t="shared" ref="U36" si="46">IF(ISBLANK(T36),"",MONTH(T36)&amp;"月")</f>
        <v>3月</v>
      </c>
      <c r="V36" s="4" t="s">
        <v>178</v>
      </c>
      <c r="W36" s="40">
        <v>1580</v>
      </c>
      <c r="X36" s="46" t="s">
        <v>188</v>
      </c>
      <c r="Y36" s="67" t="s">
        <v>408</v>
      </c>
      <c r="Z36" s="67"/>
      <c r="AB36" s="164">
        <v>45851</v>
      </c>
      <c r="AC36" s="165" t="s">
        <v>282</v>
      </c>
      <c r="AD36" s="166">
        <v>293</v>
      </c>
      <c r="AE36" s="165" t="s">
        <v>200</v>
      </c>
      <c r="AF36" s="167"/>
      <c r="AG36" s="168"/>
      <c r="AI36" s="122"/>
      <c r="AJ36" s="4"/>
      <c r="AK36" s="40"/>
      <c r="AL36" s="4"/>
      <c r="AM36" s="67"/>
      <c r="AN36" s="67"/>
    </row>
    <row r="37" spans="1:40" x14ac:dyDescent="0.4">
      <c r="A37" s="227"/>
      <c r="B37" s="9" t="s">
        <v>107</v>
      </c>
      <c r="C37" s="130">
        <f t="shared" si="37"/>
        <v>3.2589597059971246E-3</v>
      </c>
      <c r="D37" s="100">
        <f t="shared" si="40"/>
        <v>5174</v>
      </c>
      <c r="E37" s="100">
        <f t="shared" si="40"/>
        <v>0</v>
      </c>
      <c r="F37" s="100">
        <f t="shared" si="40"/>
        <v>2027</v>
      </c>
      <c r="G37" s="100">
        <f t="shared" si="40"/>
        <v>14229</v>
      </c>
      <c r="H37" s="100">
        <f t="shared" si="40"/>
        <v>0</v>
      </c>
      <c r="I37" s="100">
        <f t="shared" si="40"/>
        <v>0</v>
      </c>
      <c r="J37" s="100">
        <f t="shared" si="40"/>
        <v>0</v>
      </c>
      <c r="K37" s="100">
        <f t="shared" si="40"/>
        <v>0</v>
      </c>
      <c r="L37" s="100">
        <f t="shared" si="40"/>
        <v>0</v>
      </c>
      <c r="M37" s="100">
        <f t="shared" si="40"/>
        <v>0</v>
      </c>
      <c r="N37" s="100">
        <f t="shared" si="40"/>
        <v>0</v>
      </c>
      <c r="O37" s="100">
        <f t="shared" si="40"/>
        <v>0</v>
      </c>
      <c r="P37" s="101">
        <f t="shared" si="45"/>
        <v>21430</v>
      </c>
      <c r="T37" s="42">
        <v>45745</v>
      </c>
      <c r="U37" s="46" t="str">
        <f t="shared" ref="U37" si="47">IF(ISBLANK(T37),"",MONTH(T37)&amp;"月")</f>
        <v>3月</v>
      </c>
      <c r="V37" s="4" t="s">
        <v>178</v>
      </c>
      <c r="W37" s="40">
        <v>1992</v>
      </c>
      <c r="X37" s="67" t="s">
        <v>237</v>
      </c>
      <c r="Y37" s="67" t="s">
        <v>409</v>
      </c>
      <c r="Z37" s="67"/>
      <c r="AB37" s="180">
        <v>45851</v>
      </c>
      <c r="AC37" s="4" t="s">
        <v>282</v>
      </c>
      <c r="AD37" s="40">
        <v>1449</v>
      </c>
      <c r="AE37" s="4" t="s">
        <v>200</v>
      </c>
      <c r="AF37" s="67"/>
      <c r="AG37" s="170"/>
      <c r="AI37" s="122"/>
      <c r="AJ37" s="4"/>
      <c r="AK37" s="40"/>
      <c r="AL37" s="4"/>
      <c r="AM37" s="67"/>
      <c r="AN37" s="67"/>
    </row>
    <row r="38" spans="1:40" x14ac:dyDescent="0.4">
      <c r="A38" s="213"/>
      <c r="B38" s="6" t="s">
        <v>26</v>
      </c>
      <c r="C38" s="131">
        <f t="shared" si="37"/>
        <v>4.5507425957135021E-2</v>
      </c>
      <c r="D38" s="102">
        <f>SUM(D31:D37)</f>
        <v>196473</v>
      </c>
      <c r="E38" s="102">
        <f t="shared" ref="E38:O38" si="48">SUM(E31:E37)</f>
        <v>24820</v>
      </c>
      <c r="F38" s="102">
        <f t="shared" si="48"/>
        <v>28444</v>
      </c>
      <c r="G38" s="102">
        <f t="shared" si="48"/>
        <v>42085</v>
      </c>
      <c r="H38" s="102">
        <f t="shared" si="48"/>
        <v>0</v>
      </c>
      <c r="I38" s="102">
        <f t="shared" si="48"/>
        <v>1640</v>
      </c>
      <c r="J38" s="102">
        <f t="shared" si="48"/>
        <v>5782</v>
      </c>
      <c r="K38" s="102">
        <f t="shared" si="48"/>
        <v>0</v>
      </c>
      <c r="L38" s="102">
        <f t="shared" si="48"/>
        <v>0</v>
      </c>
      <c r="M38" s="102">
        <f t="shared" si="48"/>
        <v>0</v>
      </c>
      <c r="N38" s="102">
        <f t="shared" si="48"/>
        <v>0</v>
      </c>
      <c r="O38" s="102">
        <f t="shared" si="48"/>
        <v>0</v>
      </c>
      <c r="P38" s="102">
        <f>SUM(D38:O38)</f>
        <v>299244</v>
      </c>
      <c r="T38" s="42">
        <v>45745</v>
      </c>
      <c r="U38" s="46" t="str">
        <f t="shared" ref="U38:U41" si="49">IF(ISBLANK(T38),"",MONTH(T38)&amp;"月")</f>
        <v>3月</v>
      </c>
      <c r="V38" s="4" t="s">
        <v>178</v>
      </c>
      <c r="W38" s="40">
        <v>7383</v>
      </c>
      <c r="X38" s="46" t="s">
        <v>188</v>
      </c>
      <c r="Y38" s="67" t="s">
        <v>410</v>
      </c>
      <c r="Z38" s="67"/>
      <c r="AB38" s="180">
        <v>45851</v>
      </c>
      <c r="AC38" s="4" t="s">
        <v>282</v>
      </c>
      <c r="AD38" s="40">
        <v>945</v>
      </c>
      <c r="AE38" s="4" t="s">
        <v>200</v>
      </c>
      <c r="AF38" s="4"/>
      <c r="AG38" s="170"/>
      <c r="AI38" s="122"/>
      <c r="AJ38" s="4"/>
      <c r="AK38" s="40"/>
      <c r="AL38" s="4"/>
      <c r="AM38" s="67"/>
      <c r="AN38" s="67"/>
    </row>
    <row r="39" spans="1:40" ht="18.75" customHeight="1" x14ac:dyDescent="0.4">
      <c r="A39" s="228" t="s">
        <v>441</v>
      </c>
      <c r="B39" s="5" t="s">
        <v>110</v>
      </c>
      <c r="C39" s="130">
        <f t="shared" si="37"/>
        <v>2.2206092171227536E-2</v>
      </c>
      <c r="D39" s="100">
        <f t="shared" ref="D39:O46" si="50">SUMIFS($W$3:$W$213,$U$3:$U$213,D$25,$X$3:$X$213,$B39)</f>
        <v>21930</v>
      </c>
      <c r="E39" s="100">
        <f t="shared" si="50"/>
        <v>0</v>
      </c>
      <c r="F39" s="100">
        <f t="shared" si="50"/>
        <v>0</v>
      </c>
      <c r="G39" s="100">
        <f t="shared" si="50"/>
        <v>7818</v>
      </c>
      <c r="H39" s="100">
        <f t="shared" si="50"/>
        <v>0</v>
      </c>
      <c r="I39" s="100">
        <f t="shared" si="50"/>
        <v>75690</v>
      </c>
      <c r="J39" s="100">
        <f t="shared" si="50"/>
        <v>40583</v>
      </c>
      <c r="K39" s="100">
        <f t="shared" si="50"/>
        <v>0</v>
      </c>
      <c r="L39" s="100">
        <f t="shared" si="50"/>
        <v>0</v>
      </c>
      <c r="M39" s="100">
        <f t="shared" si="50"/>
        <v>0</v>
      </c>
      <c r="N39" s="100">
        <f t="shared" si="50"/>
        <v>0</v>
      </c>
      <c r="O39" s="100">
        <f t="shared" si="50"/>
        <v>0</v>
      </c>
      <c r="P39" s="101">
        <f t="shared" ref="P39" si="51">SUM(D39:O39)</f>
        <v>146021</v>
      </c>
      <c r="T39" s="42">
        <v>45748</v>
      </c>
      <c r="U39" s="4" t="str">
        <f>IF(ISBLANK(T39),"",MONTH(T39)&amp;"月")</f>
        <v>4月</v>
      </c>
      <c r="V39" s="4" t="s">
        <v>248</v>
      </c>
      <c r="W39" s="40">
        <v>14229</v>
      </c>
      <c r="X39" s="67" t="s">
        <v>107</v>
      </c>
      <c r="Y39" s="67" t="s">
        <v>247</v>
      </c>
      <c r="Z39" s="67"/>
      <c r="AB39" s="180">
        <v>45851</v>
      </c>
      <c r="AC39" s="4" t="s">
        <v>282</v>
      </c>
      <c r="AD39" s="40">
        <v>750</v>
      </c>
      <c r="AE39" s="4" t="s">
        <v>200</v>
      </c>
      <c r="AF39" s="67"/>
      <c r="AG39" s="170"/>
      <c r="AI39" s="122"/>
      <c r="AJ39" s="4"/>
      <c r="AK39" s="40"/>
      <c r="AL39" s="4"/>
      <c r="AM39" s="67"/>
      <c r="AN39" s="67"/>
    </row>
    <row r="40" spans="1:40" ht="18.75" customHeight="1" x14ac:dyDescent="0.4">
      <c r="A40" s="229"/>
      <c r="B40" s="5" t="s">
        <v>115</v>
      </c>
      <c r="C40" s="130">
        <f t="shared" si="37"/>
        <v>2.1777089589304164E-3</v>
      </c>
      <c r="D40" s="100">
        <f t="shared" si="50"/>
        <v>0</v>
      </c>
      <c r="E40" s="100">
        <f t="shared" si="50"/>
        <v>0</v>
      </c>
      <c r="F40" s="100">
        <f t="shared" si="50"/>
        <v>1992</v>
      </c>
      <c r="G40" s="100">
        <f t="shared" si="50"/>
        <v>0</v>
      </c>
      <c r="H40" s="100">
        <f t="shared" si="50"/>
        <v>10929</v>
      </c>
      <c r="I40" s="100">
        <f t="shared" si="50"/>
        <v>0</v>
      </c>
      <c r="J40" s="100">
        <f t="shared" si="50"/>
        <v>1399</v>
      </c>
      <c r="K40" s="100">
        <f t="shared" si="50"/>
        <v>0</v>
      </c>
      <c r="L40" s="100">
        <f t="shared" si="50"/>
        <v>0</v>
      </c>
      <c r="M40" s="100">
        <f t="shared" si="50"/>
        <v>0</v>
      </c>
      <c r="N40" s="100">
        <f t="shared" si="50"/>
        <v>0</v>
      </c>
      <c r="O40" s="100">
        <f t="shared" si="50"/>
        <v>0</v>
      </c>
      <c r="P40" s="101">
        <f>SUM(D40:O40)</f>
        <v>14320</v>
      </c>
      <c r="T40" s="42">
        <v>45751</v>
      </c>
      <c r="U40" s="46" t="str">
        <f>IF(ISBLANK(T40),"",MONTH(T40)&amp;"月")</f>
        <v>4月</v>
      </c>
      <c r="V40" s="4" t="s">
        <v>214</v>
      </c>
      <c r="W40" s="40">
        <v>8393</v>
      </c>
      <c r="X40" s="4" t="s">
        <v>33</v>
      </c>
      <c r="Y40" s="67" t="s">
        <v>390</v>
      </c>
      <c r="Z40" s="67"/>
      <c r="AB40" s="180">
        <v>45851</v>
      </c>
      <c r="AC40" s="4" t="s">
        <v>282</v>
      </c>
      <c r="AD40" s="40">
        <v>1381</v>
      </c>
      <c r="AE40" s="4" t="s">
        <v>200</v>
      </c>
      <c r="AF40" s="67"/>
      <c r="AG40" s="170"/>
      <c r="AI40" s="122"/>
      <c r="AJ40" s="4"/>
      <c r="AK40" s="40"/>
      <c r="AL40" s="4"/>
      <c r="AM40" s="67"/>
      <c r="AN40" s="67"/>
    </row>
    <row r="41" spans="1:40" x14ac:dyDescent="0.4">
      <c r="A41" s="229"/>
      <c r="B41" s="5" t="s">
        <v>92</v>
      </c>
      <c r="C41" s="130">
        <f t="shared" si="37"/>
        <v>2.6308609949514259E-2</v>
      </c>
      <c r="D41" s="100">
        <f t="shared" si="50"/>
        <v>34278</v>
      </c>
      <c r="E41" s="100">
        <f t="shared" si="50"/>
        <v>107746</v>
      </c>
      <c r="F41" s="100">
        <f t="shared" si="50"/>
        <v>16623</v>
      </c>
      <c r="G41" s="100">
        <f t="shared" si="50"/>
        <v>1399</v>
      </c>
      <c r="H41" s="100">
        <f t="shared" si="50"/>
        <v>11172</v>
      </c>
      <c r="I41" s="100">
        <f t="shared" si="50"/>
        <v>0</v>
      </c>
      <c r="J41" s="100">
        <f t="shared" si="50"/>
        <v>1780</v>
      </c>
      <c r="K41" s="100">
        <f t="shared" si="50"/>
        <v>0</v>
      </c>
      <c r="L41" s="100">
        <f t="shared" si="50"/>
        <v>0</v>
      </c>
      <c r="M41" s="100">
        <f t="shared" si="50"/>
        <v>0</v>
      </c>
      <c r="N41" s="100">
        <f t="shared" si="50"/>
        <v>0</v>
      </c>
      <c r="O41" s="100">
        <f t="shared" si="50"/>
        <v>0</v>
      </c>
      <c r="P41" s="101">
        <f>SUM(D41:O41)</f>
        <v>172998</v>
      </c>
      <c r="T41" s="42">
        <v>45754</v>
      </c>
      <c r="U41" s="46" t="str">
        <f t="shared" si="49"/>
        <v>4月</v>
      </c>
      <c r="V41" s="4" t="s">
        <v>243</v>
      </c>
      <c r="W41" s="40">
        <v>25300</v>
      </c>
      <c r="X41" s="46" t="s">
        <v>218</v>
      </c>
      <c r="Y41" s="67" t="s">
        <v>242</v>
      </c>
      <c r="Z41" s="67"/>
      <c r="AB41" s="180">
        <v>45851</v>
      </c>
      <c r="AC41" s="4" t="s">
        <v>282</v>
      </c>
      <c r="AD41" s="40">
        <v>390</v>
      </c>
      <c r="AE41" s="4" t="s">
        <v>200</v>
      </c>
      <c r="AF41" s="67"/>
      <c r="AG41" s="170"/>
      <c r="AI41" s="122"/>
      <c r="AJ41" s="4"/>
      <c r="AK41" s="40"/>
      <c r="AL41" s="4"/>
      <c r="AM41" s="67"/>
      <c r="AN41" s="67"/>
    </row>
    <row r="42" spans="1:40" x14ac:dyDescent="0.4">
      <c r="A42" s="229"/>
      <c r="B42" s="5" t="s">
        <v>100</v>
      </c>
      <c r="C42" s="130">
        <f t="shared" si="37"/>
        <v>1.9345415968263847E-3</v>
      </c>
      <c r="D42" s="100">
        <f t="shared" si="50"/>
        <v>12721</v>
      </c>
      <c r="E42" s="100">
        <f t="shared" si="50"/>
        <v>0</v>
      </c>
      <c r="F42" s="100">
        <f t="shared" si="50"/>
        <v>0</v>
      </c>
      <c r="G42" s="100">
        <f t="shared" si="50"/>
        <v>0</v>
      </c>
      <c r="H42" s="100">
        <f t="shared" si="50"/>
        <v>0</v>
      </c>
      <c r="I42" s="100">
        <f t="shared" si="50"/>
        <v>0</v>
      </c>
      <c r="J42" s="100">
        <f t="shared" si="50"/>
        <v>0</v>
      </c>
      <c r="K42" s="100">
        <f t="shared" si="50"/>
        <v>0</v>
      </c>
      <c r="L42" s="100">
        <f t="shared" si="50"/>
        <v>0</v>
      </c>
      <c r="M42" s="100">
        <f t="shared" si="50"/>
        <v>0</v>
      </c>
      <c r="N42" s="100">
        <f t="shared" si="50"/>
        <v>0</v>
      </c>
      <c r="O42" s="100">
        <f t="shared" si="50"/>
        <v>0</v>
      </c>
      <c r="P42" s="101">
        <f t="shared" ref="P42:P47" si="52">SUM(D42:O42)</f>
        <v>12721</v>
      </c>
      <c r="T42" s="42">
        <v>45755</v>
      </c>
      <c r="U42" s="46" t="str">
        <f t="shared" ref="U42:U44" si="53">IF(ISBLANK(T42),"",MONTH(T42)&amp;"月")</f>
        <v>4月</v>
      </c>
      <c r="V42" s="4" t="s">
        <v>66</v>
      </c>
      <c r="W42" s="40">
        <v>1399</v>
      </c>
      <c r="X42" s="46" t="s">
        <v>188</v>
      </c>
      <c r="Y42" s="67" t="s">
        <v>411</v>
      </c>
      <c r="Z42" s="67"/>
      <c r="AB42" s="180">
        <v>45851</v>
      </c>
      <c r="AC42" s="4" t="s">
        <v>282</v>
      </c>
      <c r="AD42" s="40">
        <v>21400</v>
      </c>
      <c r="AE42" s="4" t="s">
        <v>200</v>
      </c>
      <c r="AF42" s="67"/>
      <c r="AG42" s="170"/>
      <c r="AI42" s="122"/>
      <c r="AJ42" s="4"/>
      <c r="AK42" s="40"/>
      <c r="AL42" s="4"/>
      <c r="AM42" s="67"/>
      <c r="AN42" s="67"/>
    </row>
    <row r="43" spans="1:40" x14ac:dyDescent="0.4">
      <c r="A43" s="229"/>
      <c r="B43" s="5" t="s">
        <v>156</v>
      </c>
      <c r="C43" s="130">
        <f t="shared" si="37"/>
        <v>1.4687369500942711E-3</v>
      </c>
      <c r="D43" s="100">
        <f t="shared" si="50"/>
        <v>0</v>
      </c>
      <c r="E43" s="100">
        <f t="shared" si="50"/>
        <v>0</v>
      </c>
      <c r="F43" s="100">
        <f t="shared" si="50"/>
        <v>0</v>
      </c>
      <c r="G43" s="100">
        <f t="shared" si="50"/>
        <v>0</v>
      </c>
      <c r="H43" s="100">
        <f t="shared" si="50"/>
        <v>0</v>
      </c>
      <c r="I43" s="100">
        <f t="shared" si="50"/>
        <v>9658</v>
      </c>
      <c r="J43" s="100">
        <f t="shared" si="50"/>
        <v>0</v>
      </c>
      <c r="K43" s="100">
        <f t="shared" si="50"/>
        <v>0</v>
      </c>
      <c r="L43" s="100">
        <f t="shared" si="50"/>
        <v>0</v>
      </c>
      <c r="M43" s="100">
        <f t="shared" si="50"/>
        <v>0</v>
      </c>
      <c r="N43" s="100">
        <f t="shared" si="50"/>
        <v>0</v>
      </c>
      <c r="O43" s="100">
        <f t="shared" si="50"/>
        <v>0</v>
      </c>
      <c r="P43" s="101">
        <f t="shared" si="52"/>
        <v>9658</v>
      </c>
      <c r="T43" s="42">
        <v>45760</v>
      </c>
      <c r="U43" s="46" t="str">
        <f t="shared" si="53"/>
        <v>4月</v>
      </c>
      <c r="V43" s="4" t="s">
        <v>193</v>
      </c>
      <c r="W43" s="40">
        <v>7480</v>
      </c>
      <c r="X43" s="4" t="s">
        <v>33</v>
      </c>
      <c r="Y43" s="67" t="s">
        <v>392</v>
      </c>
      <c r="Z43" s="67"/>
      <c r="AB43" s="180">
        <v>45851</v>
      </c>
      <c r="AC43" s="4" t="s">
        <v>282</v>
      </c>
      <c r="AD43" s="40">
        <v>130</v>
      </c>
      <c r="AE43" s="4" t="s">
        <v>200</v>
      </c>
      <c r="AF43" s="67"/>
      <c r="AG43" s="170"/>
      <c r="AI43" s="122"/>
      <c r="AJ43" s="4"/>
      <c r="AK43" s="40"/>
      <c r="AL43" s="4"/>
      <c r="AM43" s="67"/>
      <c r="AN43" s="67"/>
    </row>
    <row r="44" spans="1:40" x14ac:dyDescent="0.4">
      <c r="A44" s="229"/>
      <c r="B44" s="5" t="s">
        <v>146</v>
      </c>
      <c r="C44" s="130">
        <f t="shared" si="37"/>
        <v>2.135143264963613E-2</v>
      </c>
      <c r="D44" s="100">
        <f t="shared" si="50"/>
        <v>15345</v>
      </c>
      <c r="E44" s="100">
        <f t="shared" si="50"/>
        <v>14850</v>
      </c>
      <c r="F44" s="100">
        <f t="shared" si="50"/>
        <v>26270</v>
      </c>
      <c r="G44" s="100">
        <f t="shared" si="50"/>
        <v>15873</v>
      </c>
      <c r="H44" s="100">
        <f t="shared" si="50"/>
        <v>25040</v>
      </c>
      <c r="I44" s="100">
        <f t="shared" si="50"/>
        <v>15180</v>
      </c>
      <c r="J44" s="100">
        <f t="shared" si="50"/>
        <v>20143</v>
      </c>
      <c r="K44" s="100">
        <f t="shared" si="50"/>
        <v>7700</v>
      </c>
      <c r="L44" s="100">
        <f t="shared" si="50"/>
        <v>0</v>
      </c>
      <c r="M44" s="100">
        <f t="shared" si="50"/>
        <v>0</v>
      </c>
      <c r="N44" s="100">
        <f t="shared" si="50"/>
        <v>0</v>
      </c>
      <c r="O44" s="100">
        <f t="shared" si="50"/>
        <v>0</v>
      </c>
      <c r="P44" s="101">
        <f>SUM(D44:O44)</f>
        <v>140401</v>
      </c>
      <c r="T44" s="42">
        <v>45767</v>
      </c>
      <c r="U44" s="4" t="str">
        <f t="shared" si="53"/>
        <v>4月</v>
      </c>
      <c r="V44" s="4" t="s">
        <v>246</v>
      </c>
      <c r="W44" s="40">
        <v>2556</v>
      </c>
      <c r="X44" s="67" t="s">
        <v>218</v>
      </c>
      <c r="Y44" s="67" t="s">
        <v>412</v>
      </c>
      <c r="Z44" s="67"/>
      <c r="AB44" s="180">
        <v>45852</v>
      </c>
      <c r="AC44" s="4" t="s">
        <v>283</v>
      </c>
      <c r="AD44" s="40">
        <v>390</v>
      </c>
      <c r="AE44" s="4" t="s">
        <v>200</v>
      </c>
      <c r="AF44" s="67"/>
      <c r="AG44" s="170"/>
      <c r="AI44" s="122"/>
      <c r="AJ44" s="4"/>
      <c r="AK44" s="40"/>
      <c r="AL44" s="4"/>
      <c r="AM44" s="67"/>
      <c r="AN44" s="67"/>
    </row>
    <row r="45" spans="1:40" x14ac:dyDescent="0.4">
      <c r="A45" s="229"/>
      <c r="B45" s="5" t="s">
        <v>136</v>
      </c>
      <c r="C45" s="130">
        <f t="shared" si="37"/>
        <v>5.3226126789500401E-2</v>
      </c>
      <c r="D45" s="100">
        <f t="shared" si="50"/>
        <v>0</v>
      </c>
      <c r="E45" s="100">
        <f t="shared" si="50"/>
        <v>100000</v>
      </c>
      <c r="F45" s="100">
        <f t="shared" si="50"/>
        <v>0</v>
      </c>
      <c r="G45" s="100">
        <f t="shared" si="50"/>
        <v>150000</v>
      </c>
      <c r="H45" s="100">
        <f t="shared" si="50"/>
        <v>0</v>
      </c>
      <c r="I45" s="100">
        <f t="shared" si="50"/>
        <v>0</v>
      </c>
      <c r="J45" s="100">
        <f t="shared" si="50"/>
        <v>100000</v>
      </c>
      <c r="K45" s="100">
        <f t="shared" si="50"/>
        <v>0</v>
      </c>
      <c r="L45" s="100">
        <f t="shared" si="50"/>
        <v>0</v>
      </c>
      <c r="M45" s="100">
        <f t="shared" si="50"/>
        <v>0</v>
      </c>
      <c r="N45" s="100">
        <f t="shared" si="50"/>
        <v>0</v>
      </c>
      <c r="O45" s="100">
        <f t="shared" si="50"/>
        <v>0</v>
      </c>
      <c r="P45" s="101">
        <f t="shared" si="52"/>
        <v>350000</v>
      </c>
      <c r="T45" s="42">
        <v>45773</v>
      </c>
      <c r="U45" s="46" t="str">
        <f t="shared" ref="U45:U49" si="54">IF(ISBLANK(T45),"",MONTH(T45)&amp;"月")</f>
        <v>4月</v>
      </c>
      <c r="V45" s="4" t="s">
        <v>72</v>
      </c>
      <c r="W45" s="40">
        <v>150000</v>
      </c>
      <c r="X45" s="46" t="s">
        <v>251</v>
      </c>
      <c r="Y45" s="67" t="s">
        <v>413</v>
      </c>
      <c r="Z45" s="67"/>
      <c r="AB45" s="180">
        <v>45852</v>
      </c>
      <c r="AC45" s="4" t="s">
        <v>56</v>
      </c>
      <c r="AD45" s="40">
        <v>659</v>
      </c>
      <c r="AE45" s="4" t="s">
        <v>200</v>
      </c>
      <c r="AF45" s="67"/>
      <c r="AG45" s="170"/>
      <c r="AI45" s="122"/>
      <c r="AJ45" s="4"/>
      <c r="AK45" s="40"/>
      <c r="AL45" s="4"/>
      <c r="AM45" s="67"/>
      <c r="AN45" s="67"/>
    </row>
    <row r="46" spans="1:40" x14ac:dyDescent="0.4">
      <c r="A46" s="229"/>
      <c r="B46" s="5" t="s">
        <v>37</v>
      </c>
      <c r="C46" s="130">
        <f t="shared" si="37"/>
        <v>1.191961090788869E-2</v>
      </c>
      <c r="D46" s="100">
        <f t="shared" si="50"/>
        <v>0</v>
      </c>
      <c r="E46" s="100">
        <f t="shared" si="50"/>
        <v>65000</v>
      </c>
      <c r="F46" s="100">
        <f t="shared" si="50"/>
        <v>0</v>
      </c>
      <c r="G46" s="100">
        <f t="shared" si="50"/>
        <v>0</v>
      </c>
      <c r="H46" s="100">
        <f t="shared" si="50"/>
        <v>12280</v>
      </c>
      <c r="I46" s="100">
        <f t="shared" si="50"/>
        <v>1100</v>
      </c>
      <c r="J46" s="100">
        <f t="shared" si="50"/>
        <v>0</v>
      </c>
      <c r="K46" s="100">
        <f t="shared" si="50"/>
        <v>0</v>
      </c>
      <c r="L46" s="100">
        <f t="shared" si="50"/>
        <v>0</v>
      </c>
      <c r="M46" s="100">
        <f t="shared" si="50"/>
        <v>0</v>
      </c>
      <c r="N46" s="100">
        <f t="shared" si="50"/>
        <v>0</v>
      </c>
      <c r="O46" s="100">
        <f t="shared" si="50"/>
        <v>0</v>
      </c>
      <c r="P46" s="101">
        <f t="shared" si="52"/>
        <v>78380</v>
      </c>
      <c r="T46" s="42">
        <v>45775</v>
      </c>
      <c r="U46" s="46" t="str">
        <f t="shared" si="54"/>
        <v>4月</v>
      </c>
      <c r="V46" s="4" t="s">
        <v>253</v>
      </c>
      <c r="W46" s="40">
        <v>7000</v>
      </c>
      <c r="X46" s="67" t="s">
        <v>110</v>
      </c>
      <c r="Y46" s="67" t="s">
        <v>331</v>
      </c>
      <c r="Z46" s="67"/>
      <c r="AB46" s="180">
        <v>45852</v>
      </c>
      <c r="AC46" s="4" t="s">
        <v>283</v>
      </c>
      <c r="AD46" s="40">
        <v>800</v>
      </c>
      <c r="AE46" s="4" t="s">
        <v>200</v>
      </c>
      <c r="AF46" s="67"/>
      <c r="AG46" s="170"/>
      <c r="AI46" s="122"/>
      <c r="AJ46" s="4"/>
      <c r="AK46" s="40"/>
      <c r="AL46" s="4"/>
      <c r="AM46" s="67"/>
      <c r="AN46" s="67"/>
    </row>
    <row r="47" spans="1:40" x14ac:dyDescent="0.4">
      <c r="A47" s="230"/>
      <c r="B47" s="10" t="s">
        <v>27</v>
      </c>
      <c r="C47" s="132">
        <f t="shared" si="37"/>
        <v>0.14059285997361809</v>
      </c>
      <c r="D47" s="103">
        <f t="shared" ref="D47:O47" si="55">SUM(D39:D46)</f>
        <v>84274</v>
      </c>
      <c r="E47" s="103">
        <f t="shared" si="55"/>
        <v>287596</v>
      </c>
      <c r="F47" s="103">
        <f t="shared" si="55"/>
        <v>44885</v>
      </c>
      <c r="G47" s="103">
        <f t="shared" si="55"/>
        <v>175090</v>
      </c>
      <c r="H47" s="103">
        <f t="shared" si="55"/>
        <v>59421</v>
      </c>
      <c r="I47" s="103">
        <f t="shared" si="55"/>
        <v>101628</v>
      </c>
      <c r="J47" s="103">
        <f t="shared" si="55"/>
        <v>163905</v>
      </c>
      <c r="K47" s="103">
        <f t="shared" si="55"/>
        <v>7700</v>
      </c>
      <c r="L47" s="103">
        <f t="shared" si="55"/>
        <v>0</v>
      </c>
      <c r="M47" s="103">
        <f t="shared" si="55"/>
        <v>0</v>
      </c>
      <c r="N47" s="103">
        <f t="shared" si="55"/>
        <v>0</v>
      </c>
      <c r="O47" s="103">
        <f t="shared" si="55"/>
        <v>0</v>
      </c>
      <c r="P47" s="103">
        <f t="shared" si="52"/>
        <v>924499</v>
      </c>
      <c r="T47" s="42">
        <v>45775</v>
      </c>
      <c r="U47" s="46" t="str">
        <f>IF(ISBLANK(T47),"",MONTH(T47)&amp;"月")</f>
        <v>4月</v>
      </c>
      <c r="V47" s="4" t="s">
        <v>187</v>
      </c>
      <c r="W47" s="40">
        <v>818</v>
      </c>
      <c r="X47" s="67" t="s">
        <v>110</v>
      </c>
      <c r="Y47" s="19" t="s">
        <v>236</v>
      </c>
      <c r="Z47" s="4"/>
      <c r="AB47" s="180">
        <v>45852</v>
      </c>
      <c r="AC47" s="4" t="s">
        <v>56</v>
      </c>
      <c r="AD47" s="40">
        <v>440</v>
      </c>
      <c r="AE47" s="4" t="s">
        <v>200</v>
      </c>
      <c r="AF47" s="67"/>
      <c r="AG47" s="170"/>
      <c r="AI47" s="122"/>
      <c r="AJ47" s="4"/>
      <c r="AK47" s="40"/>
      <c r="AL47" s="4"/>
      <c r="AM47" s="67"/>
      <c r="AN47" s="67"/>
    </row>
    <row r="48" spans="1:40" x14ac:dyDescent="0.4">
      <c r="A48" s="238" t="s">
        <v>23</v>
      </c>
      <c r="B48" s="65" t="s">
        <v>58</v>
      </c>
      <c r="C48" s="130">
        <f t="shared" si="37"/>
        <v>1.980650630090889E-2</v>
      </c>
      <c r="D48" s="126">
        <f>'2025年予実'!J6</f>
        <v>14387</v>
      </c>
      <c r="E48" s="126">
        <f>'2025年予実'!M6</f>
        <v>10405</v>
      </c>
      <c r="F48" s="126">
        <f>'2025年予実'!P6</f>
        <v>26967</v>
      </c>
      <c r="G48" s="126">
        <f>'2025年予実'!S6</f>
        <v>10097</v>
      </c>
      <c r="H48" s="126">
        <f>'2025年予実'!V6</f>
        <v>18877</v>
      </c>
      <c r="I48" s="126">
        <f>'2025年予実'!Y6</f>
        <v>10577</v>
      </c>
      <c r="J48" s="126">
        <f>'2025年予実'!AB6</f>
        <v>11533</v>
      </c>
      <c r="K48" s="126">
        <f>'2025年予実'!AE6</f>
        <v>8255</v>
      </c>
      <c r="L48" s="126">
        <f>'2025年予実'!AH6</f>
        <v>5295</v>
      </c>
      <c r="M48" s="126">
        <f>'2025年予実'!AK6</f>
        <v>5295</v>
      </c>
      <c r="N48" s="126">
        <f>'2025年予実'!AN6</f>
        <v>4277</v>
      </c>
      <c r="O48" s="126">
        <f>'2025年予実'!AQ6</f>
        <v>4277</v>
      </c>
      <c r="P48" s="126">
        <f t="shared" ref="P48:P60" si="56">SUM(D48:O48)</f>
        <v>130242</v>
      </c>
      <c r="T48" s="42">
        <v>45780</v>
      </c>
      <c r="U48" s="46" t="str">
        <f t="shared" si="54"/>
        <v>5月</v>
      </c>
      <c r="V48" s="4" t="s">
        <v>72</v>
      </c>
      <c r="W48" s="40">
        <v>11172</v>
      </c>
      <c r="X48" s="46" t="s">
        <v>188</v>
      </c>
      <c r="Y48" s="67" t="s">
        <v>417</v>
      </c>
      <c r="Z48" s="67"/>
      <c r="AB48" s="180">
        <v>45852</v>
      </c>
      <c r="AC48" s="4" t="s">
        <v>283</v>
      </c>
      <c r="AD48" s="40">
        <v>2500</v>
      </c>
      <c r="AE48" s="4" t="s">
        <v>200</v>
      </c>
      <c r="AF48" s="67"/>
      <c r="AG48" s="170"/>
      <c r="AI48" s="122"/>
      <c r="AJ48" s="4"/>
      <c r="AK48" s="40"/>
      <c r="AL48" s="4"/>
      <c r="AM48" s="67"/>
      <c r="AN48" s="67"/>
    </row>
    <row r="49" spans="1:40" x14ac:dyDescent="0.4">
      <c r="A49" s="238"/>
      <c r="B49" s="65" t="s">
        <v>91</v>
      </c>
      <c r="C49" s="130">
        <f t="shared" si="37"/>
        <v>1.8967510468058394E-2</v>
      </c>
      <c r="D49" s="126">
        <f>'2025年予実'!J7</f>
        <v>13619</v>
      </c>
      <c r="E49" s="126">
        <f>'2025年予実'!M7</f>
        <v>23202</v>
      </c>
      <c r="F49" s="126">
        <f>'2025年予実'!P7</f>
        <v>24311</v>
      </c>
      <c r="G49" s="126">
        <f>'2025年予実'!S7</f>
        <v>29084</v>
      </c>
      <c r="H49" s="126">
        <f>'2025年予実'!V7</f>
        <v>14505</v>
      </c>
      <c r="I49" s="126">
        <f>'2025年予実'!Y7</f>
        <v>20004</v>
      </c>
      <c r="J49" s="126">
        <f>'2025年予実'!AB7</f>
        <v>0</v>
      </c>
      <c r="K49" s="126">
        <f>'2025年予実'!AE7</f>
        <v>0</v>
      </c>
      <c r="L49" s="126">
        <f>'2025年予実'!AH7</f>
        <v>0</v>
      </c>
      <c r="M49" s="126">
        <f>'2025年予実'!AK7</f>
        <v>0</v>
      </c>
      <c r="N49" s="126">
        <f>'2025年予実'!AN7</f>
        <v>0</v>
      </c>
      <c r="O49" s="126">
        <f>'2025年予実'!AQ7</f>
        <v>0</v>
      </c>
      <c r="P49" s="126">
        <f t="shared" si="56"/>
        <v>124725</v>
      </c>
      <c r="T49" s="42">
        <v>45784</v>
      </c>
      <c r="U49" s="46" t="str">
        <f t="shared" si="54"/>
        <v>5月</v>
      </c>
      <c r="V49" s="4" t="s">
        <v>258</v>
      </c>
      <c r="W49" s="40">
        <v>2499</v>
      </c>
      <c r="X49" s="67" t="s">
        <v>237</v>
      </c>
      <c r="Y49" s="67" t="s">
        <v>418</v>
      </c>
      <c r="Z49" s="67"/>
      <c r="AB49" s="180">
        <v>45852</v>
      </c>
      <c r="AC49" s="4" t="s">
        <v>283</v>
      </c>
      <c r="AD49" s="40">
        <v>400</v>
      </c>
      <c r="AE49" s="4" t="s">
        <v>200</v>
      </c>
      <c r="AF49" s="67"/>
      <c r="AG49" s="170"/>
      <c r="AI49" s="122"/>
      <c r="AJ49" s="4"/>
      <c r="AK49" s="40"/>
      <c r="AL49" s="4"/>
      <c r="AM49" s="67"/>
      <c r="AN49" s="67"/>
    </row>
    <row r="50" spans="1:40" x14ac:dyDescent="0.4">
      <c r="A50" s="238"/>
      <c r="B50" s="65" t="s">
        <v>57</v>
      </c>
      <c r="C50" s="130">
        <f t="shared" si="37"/>
        <v>6.5480301922923095E-3</v>
      </c>
      <c r="D50" s="126">
        <f>'2025年予実'!J8</f>
        <v>3068</v>
      </c>
      <c r="E50" s="126">
        <f>'2025年予実'!M8</f>
        <v>10526</v>
      </c>
      <c r="F50" s="126">
        <f>'2025年予実'!P8</f>
        <v>2645</v>
      </c>
      <c r="G50" s="126">
        <f>'2025年予実'!S8</f>
        <v>3355</v>
      </c>
      <c r="H50" s="126">
        <f>'2025年予実'!V8</f>
        <v>10773</v>
      </c>
      <c r="I50" s="126">
        <f>'2025年予実'!Y8</f>
        <v>770</v>
      </c>
      <c r="J50" s="126">
        <f>'2025年予実'!AB8</f>
        <v>9821</v>
      </c>
      <c r="K50" s="126">
        <f>'2025年予実'!AE8</f>
        <v>2100</v>
      </c>
      <c r="L50" s="126">
        <f>'2025年予実'!AH8</f>
        <v>0</v>
      </c>
      <c r="M50" s="126">
        <f>'2025年予実'!AK8</f>
        <v>0</v>
      </c>
      <c r="N50" s="126">
        <f>'2025年予実'!AN8</f>
        <v>0</v>
      </c>
      <c r="O50" s="126">
        <f>'2025年予実'!AQ8</f>
        <v>0</v>
      </c>
      <c r="P50" s="126">
        <f t="shared" si="56"/>
        <v>43058</v>
      </c>
      <c r="T50" s="42">
        <v>45784</v>
      </c>
      <c r="U50" s="46" t="str">
        <f t="shared" ref="U50" si="57">IF(ISBLANK(T50),"",MONTH(T50)&amp;"月")</f>
        <v>5月</v>
      </c>
      <c r="V50" s="4" t="s">
        <v>157</v>
      </c>
      <c r="W50" s="29">
        <v>7700</v>
      </c>
      <c r="X50" s="4" t="s">
        <v>33</v>
      </c>
      <c r="Y50" s="67" t="s">
        <v>390</v>
      </c>
      <c r="Z50" s="67"/>
      <c r="AB50" s="180">
        <v>45852</v>
      </c>
      <c r="AC50" s="4" t="s">
        <v>56</v>
      </c>
      <c r="AD50" s="40">
        <v>6280</v>
      </c>
      <c r="AE50" s="4" t="s">
        <v>200</v>
      </c>
      <c r="AF50" s="67"/>
      <c r="AG50" s="170"/>
      <c r="AI50" s="122"/>
      <c r="AJ50" s="4"/>
      <c r="AK50" s="40"/>
      <c r="AL50" s="4"/>
      <c r="AM50" s="67"/>
      <c r="AN50" s="67"/>
    </row>
    <row r="51" spans="1:40" ht="18.75" customHeight="1" x14ac:dyDescent="0.4">
      <c r="A51" s="238"/>
      <c r="B51" s="65" t="s">
        <v>21</v>
      </c>
      <c r="C51" s="130">
        <f t="shared" si="37"/>
        <v>1.1945007374099681E-2</v>
      </c>
      <c r="D51" s="126">
        <f>'2025年予実'!J9</f>
        <v>8099</v>
      </c>
      <c r="E51" s="126">
        <f>'2025年予実'!M9</f>
        <v>7989</v>
      </c>
      <c r="F51" s="126">
        <f>'2025年予実'!P9</f>
        <v>9331</v>
      </c>
      <c r="G51" s="126">
        <f>'2025年予実'!S9</f>
        <v>3303</v>
      </c>
      <c r="H51" s="126">
        <f>'2025年予実'!V9</f>
        <v>6581</v>
      </c>
      <c r="I51" s="126">
        <f>'2025年予実'!Y9</f>
        <v>9852</v>
      </c>
      <c r="J51" s="126">
        <f>'2025年予実'!AB9</f>
        <v>9852</v>
      </c>
      <c r="K51" s="126">
        <f>'2025年予実'!AE9</f>
        <v>4708</v>
      </c>
      <c r="L51" s="126">
        <f>'2025年予実'!AH9</f>
        <v>4708</v>
      </c>
      <c r="M51" s="126">
        <f>'2025年予実'!AK9</f>
        <v>4708</v>
      </c>
      <c r="N51" s="126">
        <f>'2025年予実'!AN9</f>
        <v>4708</v>
      </c>
      <c r="O51" s="126">
        <f>'2025年予実'!AQ9</f>
        <v>4708</v>
      </c>
      <c r="P51" s="126">
        <f t="shared" si="56"/>
        <v>78547</v>
      </c>
      <c r="T51" s="42">
        <v>45789</v>
      </c>
      <c r="U51" s="46" t="str">
        <f t="shared" ref="U51:U54" si="58">IF(ISBLANK(T51),"",MONTH(T51)&amp;"月")</f>
        <v>5月</v>
      </c>
      <c r="V51" s="4" t="s">
        <v>187</v>
      </c>
      <c r="W51" s="29">
        <v>2380</v>
      </c>
      <c r="X51" s="67" t="s">
        <v>37</v>
      </c>
      <c r="Y51" s="67" t="s">
        <v>419</v>
      </c>
      <c r="Z51" s="67"/>
      <c r="AB51" s="180">
        <v>45852</v>
      </c>
      <c r="AC51" s="4" t="s">
        <v>283</v>
      </c>
      <c r="AD51" s="40">
        <v>994</v>
      </c>
      <c r="AE51" s="4" t="s">
        <v>200</v>
      </c>
      <c r="AF51" s="67"/>
      <c r="AG51" s="170"/>
      <c r="AI51" s="122"/>
      <c r="AJ51" s="4"/>
      <c r="AK51" s="40"/>
      <c r="AL51" s="4"/>
      <c r="AM51" s="67"/>
      <c r="AN51" s="67"/>
    </row>
    <row r="52" spans="1:40" x14ac:dyDescent="0.4">
      <c r="A52" s="238"/>
      <c r="B52" s="65" t="s">
        <v>46</v>
      </c>
      <c r="C52" s="130">
        <f t="shared" si="37"/>
        <v>5.7566033093268291E-2</v>
      </c>
      <c r="D52" s="126">
        <f>'2025年予実'!J10</f>
        <v>38646</v>
      </c>
      <c r="E52" s="126">
        <f>'2025年予実'!M10</f>
        <v>50185</v>
      </c>
      <c r="F52" s="126">
        <f>'2025年予実'!P10</f>
        <v>48476</v>
      </c>
      <c r="G52" s="126">
        <f>'2025年予実'!S10</f>
        <v>54608</v>
      </c>
      <c r="H52" s="126">
        <f>'2025年予実'!V10</f>
        <v>58126</v>
      </c>
      <c r="I52" s="126">
        <f>'2025年予実'!Y10</f>
        <v>55593</v>
      </c>
      <c r="J52" s="126">
        <f>'2025年予実'!AB10</f>
        <v>57777</v>
      </c>
      <c r="K52" s="126">
        <f>'2025年予実'!AE10</f>
        <v>15127</v>
      </c>
      <c r="L52" s="126">
        <f>'2025年予実'!AH10</f>
        <v>0</v>
      </c>
      <c r="M52" s="126">
        <f>'2025年予実'!AK10</f>
        <v>0</v>
      </c>
      <c r="N52" s="126">
        <f>'2025年予実'!AN10</f>
        <v>0</v>
      </c>
      <c r="O52" s="126">
        <f>'2025年予実'!AQ10</f>
        <v>0</v>
      </c>
      <c r="P52" s="126">
        <f t="shared" si="56"/>
        <v>378538</v>
      </c>
      <c r="T52" s="42">
        <v>45790</v>
      </c>
      <c r="U52" s="46" t="str">
        <f t="shared" ref="U52" si="59">IF(ISBLANK(T52),"",MONTH(T52)&amp;"月")</f>
        <v>5月</v>
      </c>
      <c r="V52" s="4" t="s">
        <v>66</v>
      </c>
      <c r="W52" s="40">
        <v>12540</v>
      </c>
      <c r="X52" s="4" t="s">
        <v>33</v>
      </c>
      <c r="Y52" s="67" t="s">
        <v>392</v>
      </c>
      <c r="Z52" s="67"/>
      <c r="AB52" s="180">
        <v>45852</v>
      </c>
      <c r="AC52" s="4" t="s">
        <v>283</v>
      </c>
      <c r="AD52" s="40">
        <v>482</v>
      </c>
      <c r="AE52" s="4" t="s">
        <v>200</v>
      </c>
      <c r="AF52" s="67"/>
      <c r="AG52" s="170"/>
      <c r="AI52" s="122"/>
      <c r="AJ52" s="4"/>
      <c r="AK52" s="40"/>
      <c r="AL52" s="4"/>
      <c r="AM52" s="67"/>
      <c r="AN52" s="67"/>
    </row>
    <row r="53" spans="1:40" ht="19.5" thickBot="1" x14ac:dyDescent="0.45">
      <c r="A53" s="238"/>
      <c r="B53" s="65" t="s">
        <v>29</v>
      </c>
      <c r="C53" s="130">
        <f t="shared" si="37"/>
        <v>1.6587390152679904E-2</v>
      </c>
      <c r="D53" s="126">
        <f>'2025年予実'!J11</f>
        <v>50400</v>
      </c>
      <c r="E53" s="126">
        <f>'2025年予実'!M11</f>
        <v>8990</v>
      </c>
      <c r="F53" s="126">
        <f>'2025年予実'!P11</f>
        <v>6000</v>
      </c>
      <c r="G53" s="126">
        <f>'2025年予実'!S11</f>
        <v>21765</v>
      </c>
      <c r="H53" s="126">
        <f>'2025年予実'!V11</f>
        <v>17624</v>
      </c>
      <c r="I53" s="126">
        <f>'2025年予実'!Y11</f>
        <v>4295</v>
      </c>
      <c r="J53" s="126">
        <f>'2025年予実'!AB11</f>
        <v>0</v>
      </c>
      <c r="K53" s="126">
        <f>'2025年予実'!AE11</f>
        <v>0</v>
      </c>
      <c r="L53" s="126">
        <f>'2025年予実'!AH11</f>
        <v>0</v>
      </c>
      <c r="M53" s="126">
        <f>'2025年予実'!AK11</f>
        <v>0</v>
      </c>
      <c r="N53" s="126">
        <f>'2025年予実'!AN11</f>
        <v>0</v>
      </c>
      <c r="O53" s="126">
        <f>'2025年予実'!AQ11</f>
        <v>0</v>
      </c>
      <c r="P53" s="126">
        <f t="shared" si="56"/>
        <v>109074</v>
      </c>
      <c r="T53" s="42">
        <v>45798</v>
      </c>
      <c r="U53" s="46" t="str">
        <f t="shared" si="58"/>
        <v>5月</v>
      </c>
      <c r="V53" s="4" t="s">
        <v>157</v>
      </c>
      <c r="W53" s="40">
        <v>9900</v>
      </c>
      <c r="X53" s="67" t="s">
        <v>37</v>
      </c>
      <c r="Y53" s="67" t="s">
        <v>420</v>
      </c>
      <c r="Z53" s="4"/>
      <c r="AB53" s="184">
        <v>45852</v>
      </c>
      <c r="AC53" s="174" t="s">
        <v>283</v>
      </c>
      <c r="AD53" s="173">
        <v>900</v>
      </c>
      <c r="AE53" s="174" t="s">
        <v>200</v>
      </c>
      <c r="AF53" s="175"/>
      <c r="AG53" s="176"/>
      <c r="AI53" s="122"/>
      <c r="AJ53" s="4"/>
      <c r="AK53" s="40"/>
      <c r="AL53" s="4"/>
      <c r="AM53" s="67"/>
      <c r="AN53" s="67"/>
    </row>
    <row r="54" spans="1:40" x14ac:dyDescent="0.4">
      <c r="A54" s="238"/>
      <c r="B54" s="65" t="s">
        <v>48</v>
      </c>
      <c r="C54" s="130">
        <f t="shared" si="37"/>
        <v>4.2697998910537225E-3</v>
      </c>
      <c r="D54" s="126">
        <f>'2025年予実'!J12</f>
        <v>2681</v>
      </c>
      <c r="E54" s="126">
        <f>'2025年予実'!M12</f>
        <v>1693</v>
      </c>
      <c r="F54" s="126">
        <f>'2025年予実'!P12</f>
        <v>5757</v>
      </c>
      <c r="G54" s="126">
        <f>'2025年予実'!S12</f>
        <v>3596</v>
      </c>
      <c r="H54" s="126">
        <f>'2025年予実'!V12</f>
        <v>6094</v>
      </c>
      <c r="I54" s="126">
        <f>'2025年予実'!Y12</f>
        <v>2508</v>
      </c>
      <c r="J54" s="126">
        <f>'2025年予実'!AB12</f>
        <v>3602</v>
      </c>
      <c r="K54" s="126">
        <f>'2025年予実'!AE12</f>
        <v>1894</v>
      </c>
      <c r="L54" s="126">
        <f>'2025年予実'!AH12</f>
        <v>0</v>
      </c>
      <c r="M54" s="126">
        <f>'2025年予実'!AK12</f>
        <v>0</v>
      </c>
      <c r="N54" s="126">
        <f>'2025年予実'!AN12</f>
        <v>252</v>
      </c>
      <c r="O54" s="126">
        <f>'2025年予実'!AQ12</f>
        <v>0</v>
      </c>
      <c r="P54" s="126">
        <f t="shared" si="56"/>
        <v>28077</v>
      </c>
      <c r="T54" s="42">
        <v>45808</v>
      </c>
      <c r="U54" s="46" t="str">
        <f t="shared" si="58"/>
        <v>5月</v>
      </c>
      <c r="V54" s="4" t="s">
        <v>266</v>
      </c>
      <c r="W54" s="40">
        <v>4800</v>
      </c>
      <c r="X54" s="4" t="s">
        <v>33</v>
      </c>
      <c r="Y54" s="67" t="s">
        <v>267</v>
      </c>
      <c r="Z54" s="67"/>
      <c r="AB54" s="121"/>
      <c r="AC54" s="46"/>
      <c r="AD54" s="73"/>
      <c r="AE54" s="46"/>
      <c r="AF54" s="74"/>
      <c r="AG54" s="74"/>
      <c r="AI54" s="122"/>
      <c r="AJ54" s="4"/>
      <c r="AK54" s="40"/>
      <c r="AL54" s="4"/>
      <c r="AM54" s="67"/>
      <c r="AN54" s="67"/>
    </row>
    <row r="55" spans="1:40" x14ac:dyDescent="0.4">
      <c r="A55" s="238"/>
      <c r="B55" s="65" t="s">
        <v>90</v>
      </c>
      <c r="C55" s="130">
        <f t="shared" si="37"/>
        <v>0.18248957756400139</v>
      </c>
      <c r="D55" s="126">
        <f>'2025年予実'!J14</f>
        <v>100000</v>
      </c>
      <c r="E55" s="126">
        <f>'2025年予実'!M14</f>
        <v>100000</v>
      </c>
      <c r="F55" s="126">
        <f>'2025年予実'!P14</f>
        <v>100000</v>
      </c>
      <c r="G55" s="126">
        <f>'2025年予実'!S14</f>
        <v>100000</v>
      </c>
      <c r="H55" s="126">
        <f>'2025年予実'!V14</f>
        <v>100000</v>
      </c>
      <c r="I55" s="126">
        <f>'2025年予実'!Y14</f>
        <v>100000</v>
      </c>
      <c r="J55" s="126">
        <f>'2025年予実'!AB14</f>
        <v>100000</v>
      </c>
      <c r="K55" s="126">
        <f>'2025年予実'!AE14</f>
        <v>100000</v>
      </c>
      <c r="L55" s="126">
        <f>'2025年予実'!AH14</f>
        <v>100000</v>
      </c>
      <c r="M55" s="126">
        <f>'2025年予実'!AK14</f>
        <v>100000</v>
      </c>
      <c r="N55" s="126">
        <f>'2025年予実'!AN14</f>
        <v>100000</v>
      </c>
      <c r="O55" s="126">
        <f>'2025年予実'!AQ14</f>
        <v>100000</v>
      </c>
      <c r="P55" s="126">
        <f t="shared" si="56"/>
        <v>1200000</v>
      </c>
      <c r="T55" s="42">
        <v>45808</v>
      </c>
      <c r="U55" s="46" t="str">
        <f t="shared" ref="U55:U56" si="60">IF(ISBLANK(T55),"",MONTH(T55)&amp;"月")</f>
        <v>5月</v>
      </c>
      <c r="V55" s="4" t="s">
        <v>266</v>
      </c>
      <c r="W55" s="40">
        <v>8430</v>
      </c>
      <c r="X55" s="67" t="s">
        <v>237</v>
      </c>
      <c r="Y55" s="19" t="s">
        <v>268</v>
      </c>
      <c r="Z55" s="4"/>
      <c r="AB55" s="122"/>
      <c r="AC55" s="4"/>
      <c r="AD55" s="40"/>
      <c r="AE55" s="4"/>
      <c r="AF55" s="67"/>
      <c r="AG55" s="67"/>
      <c r="AI55" s="122"/>
      <c r="AJ55" s="4"/>
      <c r="AK55" s="40"/>
      <c r="AL55" s="4"/>
      <c r="AM55" s="67"/>
      <c r="AN55" s="67"/>
    </row>
    <row r="56" spans="1:40" x14ac:dyDescent="0.4">
      <c r="A56" s="238"/>
      <c r="B56" s="65" t="s">
        <v>96</v>
      </c>
      <c r="C56" s="130">
        <f t="shared" si="37"/>
        <v>7.9078816944400598E-4</v>
      </c>
      <c r="D56" s="126">
        <f>'2025年予実'!J15</f>
        <v>1300</v>
      </c>
      <c r="E56" s="126">
        <f>'2025年予実'!M15</f>
        <v>0</v>
      </c>
      <c r="F56" s="126">
        <f>'2025年予実'!P15</f>
        <v>0</v>
      </c>
      <c r="G56" s="126">
        <f>'2025年予実'!S15</f>
        <v>1300</v>
      </c>
      <c r="H56" s="126">
        <f>'2025年予実'!V15</f>
        <v>0</v>
      </c>
      <c r="I56" s="126">
        <f>'2025年予実'!Y15</f>
        <v>1300</v>
      </c>
      <c r="J56" s="126">
        <f>'2025年予実'!AB15</f>
        <v>1300</v>
      </c>
      <c r="K56" s="126">
        <f>'2025年予実'!AE15</f>
        <v>0</v>
      </c>
      <c r="L56" s="126">
        <f>'2025年予実'!AH15</f>
        <v>0</v>
      </c>
      <c r="M56" s="126">
        <f>'2025年予実'!AK15</f>
        <v>0</v>
      </c>
      <c r="N56" s="126">
        <f>'2025年予実'!AN15</f>
        <v>0</v>
      </c>
      <c r="O56" s="126">
        <f>'2025年予実'!AQ15</f>
        <v>0</v>
      </c>
      <c r="P56" s="126">
        <f t="shared" si="56"/>
        <v>5200</v>
      </c>
      <c r="T56" s="42">
        <v>45812</v>
      </c>
      <c r="U56" s="46" t="str">
        <f t="shared" si="60"/>
        <v>6月</v>
      </c>
      <c r="V56" s="4" t="s">
        <v>67</v>
      </c>
      <c r="W56" s="29">
        <v>7700</v>
      </c>
      <c r="X56" s="4" t="s">
        <v>33</v>
      </c>
      <c r="Y56" s="67" t="s">
        <v>390</v>
      </c>
      <c r="Z56" s="67"/>
      <c r="AB56" s="122"/>
      <c r="AC56" s="4"/>
      <c r="AD56" s="40"/>
      <c r="AE56" s="4"/>
      <c r="AF56" s="67"/>
      <c r="AG56" s="67"/>
      <c r="AI56" s="122"/>
      <c r="AJ56" s="4"/>
      <c r="AK56" s="40"/>
      <c r="AL56" s="4"/>
      <c r="AM56" s="67"/>
      <c r="AN56" s="67"/>
    </row>
    <row r="57" spans="1:40" x14ac:dyDescent="0.4">
      <c r="A57" s="238"/>
      <c r="B57" s="58" t="s">
        <v>44</v>
      </c>
      <c r="C57" s="133">
        <f t="shared" si="37"/>
        <v>0.31897064320580659</v>
      </c>
      <c r="D57" s="127">
        <f>'2025年予実'!J16</f>
        <v>232200</v>
      </c>
      <c r="E57" s="127">
        <f>'2025年予実'!M16</f>
        <v>212990</v>
      </c>
      <c r="F57" s="127">
        <f>'2025年予実'!P16</f>
        <v>223487</v>
      </c>
      <c r="G57" s="127">
        <f>'2025年予実'!S16</f>
        <v>227108</v>
      </c>
      <c r="H57" s="127">
        <f>'2025年予実'!V16</f>
        <v>232580</v>
      </c>
      <c r="I57" s="127">
        <f>'2025年予実'!Y16</f>
        <v>204899</v>
      </c>
      <c r="J57" s="127">
        <f>'2025年予実'!AB16</f>
        <v>193885</v>
      </c>
      <c r="K57" s="127">
        <f>'2025年予実'!AE16</f>
        <v>132084</v>
      </c>
      <c r="L57" s="127">
        <f>'2025年予実'!AH16</f>
        <v>110003</v>
      </c>
      <c r="M57" s="127">
        <f>'2025年予実'!AK16</f>
        <v>110003</v>
      </c>
      <c r="N57" s="127">
        <f>'2025年予実'!AN16</f>
        <v>109237</v>
      </c>
      <c r="O57" s="127">
        <f>'2025年予実'!AQ16</f>
        <v>108985</v>
      </c>
      <c r="P57" s="127">
        <f t="shared" si="56"/>
        <v>2097461</v>
      </c>
      <c r="T57" s="42">
        <v>45813</v>
      </c>
      <c r="U57" s="46" t="str">
        <f t="shared" ref="U57:U59" si="61">IF(ISBLANK(T57),"",MONTH(T57)&amp;"月")</f>
        <v>6月</v>
      </c>
      <c r="V57" s="4" t="s">
        <v>261</v>
      </c>
      <c r="W57" s="40">
        <v>630</v>
      </c>
      <c r="X57" s="46" t="s">
        <v>218</v>
      </c>
      <c r="Y57" s="67" t="s">
        <v>403</v>
      </c>
      <c r="Z57" s="67"/>
      <c r="AB57" s="122"/>
      <c r="AC57" s="4"/>
      <c r="AD57" s="40"/>
      <c r="AE57" s="4"/>
      <c r="AF57" s="67"/>
      <c r="AG57" s="67"/>
      <c r="AI57" s="122"/>
      <c r="AJ57" s="4"/>
      <c r="AK57" s="40"/>
      <c r="AL57" s="4"/>
      <c r="AM57" s="67"/>
      <c r="AN57" s="67"/>
    </row>
    <row r="58" spans="1:40" x14ac:dyDescent="0.4">
      <c r="A58" s="237" t="s">
        <v>36</v>
      </c>
      <c r="B58" s="64" t="s">
        <v>98</v>
      </c>
      <c r="C58" s="134">
        <f t="shared" si="37"/>
        <v>1.6592712765358855E-2</v>
      </c>
      <c r="D58" s="124">
        <f>'2025年予実'!J17</f>
        <v>9860</v>
      </c>
      <c r="E58" s="124">
        <f>'2025年予実'!M17</f>
        <v>11870</v>
      </c>
      <c r="F58" s="124">
        <f>'2025年予実'!P17</f>
        <v>22027</v>
      </c>
      <c r="G58" s="124">
        <f>'2025年予実'!S17</f>
        <v>18337</v>
      </c>
      <c r="H58" s="124">
        <f>'2025年予実'!V17</f>
        <v>15630</v>
      </c>
      <c r="I58" s="79">
        <f>'2025年予実'!Y17</f>
        <v>19380</v>
      </c>
      <c r="J58" s="79">
        <f>'2025年予実'!AB17</f>
        <v>8792</v>
      </c>
      <c r="K58" s="124">
        <f>'2025年予実'!AE17</f>
        <v>3213</v>
      </c>
      <c r="L58" s="124">
        <f>'2025年予実'!AH17</f>
        <v>0</v>
      </c>
      <c r="M58" s="124">
        <f>'2025年予実'!AK17</f>
        <v>0</v>
      </c>
      <c r="N58" s="124">
        <f>'2025年予実'!AN17</f>
        <v>0</v>
      </c>
      <c r="O58" s="124">
        <f>'2025年予実'!AQ17</f>
        <v>0</v>
      </c>
      <c r="P58" s="124">
        <f t="shared" si="56"/>
        <v>109109</v>
      </c>
      <c r="T58" s="42">
        <v>45813</v>
      </c>
      <c r="U58" s="46" t="str">
        <f t="shared" si="61"/>
        <v>6月</v>
      </c>
      <c r="V58" s="4" t="s">
        <v>261</v>
      </c>
      <c r="W58" s="40">
        <v>1010</v>
      </c>
      <c r="X58" s="46" t="s">
        <v>218</v>
      </c>
      <c r="Y58" s="19" t="s">
        <v>404</v>
      </c>
      <c r="Z58" s="4"/>
      <c r="AB58" s="122"/>
      <c r="AC58" s="4"/>
      <c r="AD58" s="40"/>
      <c r="AE58" s="4"/>
      <c r="AF58" s="67"/>
      <c r="AG58" s="67"/>
      <c r="AI58" s="122"/>
      <c r="AJ58" s="4"/>
      <c r="AK58" s="40"/>
      <c r="AL58" s="4"/>
      <c r="AM58" s="67"/>
      <c r="AN58" s="67"/>
    </row>
    <row r="59" spans="1:40" x14ac:dyDescent="0.4">
      <c r="A59" s="237"/>
      <c r="B59" s="64" t="s">
        <v>24</v>
      </c>
      <c r="C59" s="134">
        <f t="shared" si="37"/>
        <v>1.0001949596986975E-2</v>
      </c>
      <c r="D59" s="124">
        <f>'2025年予実'!J18</f>
        <v>65770</v>
      </c>
      <c r="E59" s="124">
        <f>'2025年予実'!M18</f>
        <v>0</v>
      </c>
      <c r="F59" s="124">
        <f>'2025年予実'!P18</f>
        <v>0</v>
      </c>
      <c r="G59" s="124">
        <f>'2025年予実'!S18</f>
        <v>0</v>
      </c>
      <c r="H59" s="124">
        <f>'2025年予実'!V18</f>
        <v>0</v>
      </c>
      <c r="I59" s="79">
        <f>'2025年予実'!Y18</f>
        <v>0</v>
      </c>
      <c r="J59" s="79">
        <f>'2025年予実'!AB18</f>
        <v>0</v>
      </c>
      <c r="K59" s="124">
        <f>'2025年予実'!AE18</f>
        <v>0</v>
      </c>
      <c r="L59" s="124">
        <f>'2025年予実'!AH18</f>
        <v>0</v>
      </c>
      <c r="M59" s="124">
        <f>'2025年予実'!AK18</f>
        <v>0</v>
      </c>
      <c r="N59" s="124">
        <f>'2025年予実'!AN18</f>
        <v>0</v>
      </c>
      <c r="O59" s="124">
        <f>'2025年予実'!AQ18</f>
        <v>0</v>
      </c>
      <c r="P59" s="124">
        <f t="shared" si="56"/>
        <v>65770</v>
      </c>
      <c r="T59" s="122">
        <v>45816</v>
      </c>
      <c r="U59" s="46" t="str">
        <f t="shared" si="61"/>
        <v>6月</v>
      </c>
      <c r="V59" s="4" t="s">
        <v>278</v>
      </c>
      <c r="W59" s="40">
        <v>1100</v>
      </c>
      <c r="X59" s="4" t="s">
        <v>279</v>
      </c>
      <c r="Y59" s="67" t="s">
        <v>421</v>
      </c>
      <c r="Z59" s="67"/>
      <c r="AB59" s="122"/>
      <c r="AC59" s="4"/>
      <c r="AD59" s="40"/>
      <c r="AE59" s="4"/>
      <c r="AF59" s="67"/>
      <c r="AG59" s="67"/>
      <c r="AI59" s="122"/>
      <c r="AJ59" s="4"/>
      <c r="AK59" s="40"/>
      <c r="AL59" s="4"/>
      <c r="AM59" s="67"/>
      <c r="AN59" s="67"/>
    </row>
    <row r="60" spans="1:40" x14ac:dyDescent="0.4">
      <c r="A60" s="237"/>
      <c r="B60" s="64" t="s">
        <v>59</v>
      </c>
      <c r="C60" s="134">
        <f t="shared" si="37"/>
        <v>2.253746282915417E-2</v>
      </c>
      <c r="D60" s="124">
        <f>'2025年予実'!J19</f>
        <v>12350</v>
      </c>
      <c r="E60" s="124">
        <f>'2025年予実'!M19</f>
        <v>12350</v>
      </c>
      <c r="F60" s="124">
        <f>'2025年予実'!P19</f>
        <v>12350</v>
      </c>
      <c r="G60" s="124">
        <f>'2025年予実'!S19</f>
        <v>12350</v>
      </c>
      <c r="H60" s="124">
        <f>'2025年予実'!V19</f>
        <v>12350</v>
      </c>
      <c r="I60" s="79">
        <f>'2025年予実'!Y19</f>
        <v>12350</v>
      </c>
      <c r="J60" s="79">
        <f>'2025年予実'!AB19</f>
        <v>12350</v>
      </c>
      <c r="K60" s="124">
        <f>'2025年予実'!AE19</f>
        <v>12350</v>
      </c>
      <c r="L60" s="124">
        <f>'2025年予実'!AH19</f>
        <v>12350</v>
      </c>
      <c r="M60" s="124">
        <f>'2025年予実'!AK19</f>
        <v>12350</v>
      </c>
      <c r="N60" s="124">
        <f>'2025年予実'!AN19</f>
        <v>12350</v>
      </c>
      <c r="O60" s="124">
        <f>'2025年予実'!AQ19</f>
        <v>12350</v>
      </c>
      <c r="P60" s="124">
        <f t="shared" si="56"/>
        <v>148200</v>
      </c>
      <c r="T60" s="122">
        <v>45821</v>
      </c>
      <c r="U60" s="46" t="str">
        <f t="shared" ref="U60:U66" si="62">IF(ISBLANK(T60),"",MONTH(T60)&amp;"月")</f>
        <v>6月</v>
      </c>
      <c r="V60" s="4" t="s">
        <v>165</v>
      </c>
      <c r="W60" s="40">
        <v>7480</v>
      </c>
      <c r="X60" s="4" t="s">
        <v>33</v>
      </c>
      <c r="Y60" s="67" t="s">
        <v>392</v>
      </c>
      <c r="Z60" s="67"/>
      <c r="AB60" s="122"/>
      <c r="AC60" s="4"/>
      <c r="AD60" s="40"/>
      <c r="AE60" s="4"/>
      <c r="AF60" s="67"/>
      <c r="AG60" s="67"/>
      <c r="AI60" s="122"/>
      <c r="AJ60" s="4"/>
      <c r="AK60" s="40"/>
      <c r="AL60" s="4"/>
      <c r="AM60" s="67"/>
      <c r="AN60" s="67"/>
    </row>
    <row r="61" spans="1:40" x14ac:dyDescent="0.4">
      <c r="A61" s="135" t="s">
        <v>154</v>
      </c>
      <c r="B61" s="135"/>
      <c r="C61" s="56">
        <f t="shared" si="37"/>
        <v>0.55420305432805972</v>
      </c>
      <c r="D61" s="102">
        <f t="shared" ref="D61:P61" si="63">D38+D47+D57+D58+D59+D60</f>
        <v>600927</v>
      </c>
      <c r="E61" s="102">
        <f t="shared" si="63"/>
        <v>549626</v>
      </c>
      <c r="F61" s="102">
        <f t="shared" si="63"/>
        <v>331193</v>
      </c>
      <c r="G61" s="102">
        <f t="shared" si="63"/>
        <v>474970</v>
      </c>
      <c r="H61" s="102">
        <f t="shared" si="63"/>
        <v>319981</v>
      </c>
      <c r="I61" s="102">
        <f t="shared" si="63"/>
        <v>339897</v>
      </c>
      <c r="J61" s="102">
        <f t="shared" si="63"/>
        <v>384714</v>
      </c>
      <c r="K61" s="102">
        <f t="shared" si="63"/>
        <v>155347</v>
      </c>
      <c r="L61" s="102">
        <f t="shared" si="63"/>
        <v>122353</v>
      </c>
      <c r="M61" s="102">
        <f t="shared" si="63"/>
        <v>122353</v>
      </c>
      <c r="N61" s="102">
        <f t="shared" si="63"/>
        <v>121587</v>
      </c>
      <c r="O61" s="102">
        <f t="shared" si="63"/>
        <v>121335</v>
      </c>
      <c r="P61" s="102">
        <f t="shared" si="63"/>
        <v>3644283</v>
      </c>
      <c r="T61" s="122">
        <v>45821</v>
      </c>
      <c r="U61" s="46" t="str">
        <f t="shared" si="62"/>
        <v>6月</v>
      </c>
      <c r="V61" s="4" t="s">
        <v>165</v>
      </c>
      <c r="W61" s="40">
        <v>52652</v>
      </c>
      <c r="X61" s="67" t="s">
        <v>110</v>
      </c>
      <c r="Y61" s="67" t="s">
        <v>394</v>
      </c>
      <c r="Z61" s="67"/>
      <c r="AB61" s="122"/>
      <c r="AC61" s="4"/>
      <c r="AD61" s="40"/>
      <c r="AE61" s="4"/>
      <c r="AF61" s="67"/>
      <c r="AG61" s="67"/>
      <c r="AI61" s="122"/>
      <c r="AJ61" s="4"/>
      <c r="AK61" s="40"/>
      <c r="AL61" s="4"/>
      <c r="AM61" s="67"/>
      <c r="AN61" s="67"/>
    </row>
    <row r="62" spans="1:40" x14ac:dyDescent="0.4">
      <c r="A62" s="236" t="s">
        <v>42</v>
      </c>
      <c r="B62" s="112" t="s">
        <v>145</v>
      </c>
      <c r="C62" s="129">
        <f t="shared" si="37"/>
        <v>3.6497915512800273E-2</v>
      </c>
      <c r="D62" s="100">
        <v>20000</v>
      </c>
      <c r="E62" s="100">
        <v>20000</v>
      </c>
      <c r="F62" s="100">
        <v>20000</v>
      </c>
      <c r="G62" s="100">
        <v>20000</v>
      </c>
      <c r="H62" s="100">
        <v>20000</v>
      </c>
      <c r="I62" s="100">
        <v>20000</v>
      </c>
      <c r="J62" s="100">
        <v>20000</v>
      </c>
      <c r="K62" s="100">
        <v>20000</v>
      </c>
      <c r="L62" s="100">
        <v>20000</v>
      </c>
      <c r="M62" s="100">
        <v>20000</v>
      </c>
      <c r="N62" s="100">
        <v>20000</v>
      </c>
      <c r="O62" s="100">
        <v>20000</v>
      </c>
      <c r="P62" s="100">
        <f t="shared" ref="P62:P66" si="64">SUM(D62:O62)</f>
        <v>240000</v>
      </c>
      <c r="T62" s="122">
        <v>45822</v>
      </c>
      <c r="U62" s="46" t="str">
        <f t="shared" si="62"/>
        <v>6月</v>
      </c>
      <c r="V62" s="4" t="s">
        <v>178</v>
      </c>
      <c r="W62" s="40">
        <v>23038</v>
      </c>
      <c r="X62" s="67" t="s">
        <v>110</v>
      </c>
      <c r="Y62" s="19" t="s">
        <v>394</v>
      </c>
      <c r="Z62" s="67"/>
      <c r="AB62" s="122"/>
      <c r="AC62" s="4"/>
      <c r="AD62" s="40"/>
      <c r="AE62" s="4"/>
      <c r="AF62" s="67"/>
      <c r="AG62" s="67"/>
      <c r="AI62" s="122"/>
      <c r="AJ62" s="4"/>
      <c r="AK62" s="40"/>
      <c r="AL62" s="4"/>
      <c r="AM62" s="67"/>
      <c r="AN62" s="67"/>
    </row>
    <row r="63" spans="1:40" x14ac:dyDescent="0.4">
      <c r="A63" s="236"/>
      <c r="B63" s="112" t="s">
        <v>170</v>
      </c>
      <c r="C63" s="129">
        <f t="shared" si="37"/>
        <v>2.4331943675200182E-2</v>
      </c>
      <c r="D63" s="100">
        <v>10000</v>
      </c>
      <c r="E63" s="100">
        <v>10000</v>
      </c>
      <c r="F63" s="100">
        <v>10000</v>
      </c>
      <c r="G63" s="100">
        <v>10000</v>
      </c>
      <c r="H63" s="100">
        <v>10000</v>
      </c>
      <c r="I63" s="100">
        <v>30000</v>
      </c>
      <c r="J63" s="100">
        <v>10000</v>
      </c>
      <c r="K63" s="100">
        <v>10000</v>
      </c>
      <c r="L63" s="100">
        <v>10000</v>
      </c>
      <c r="M63" s="100">
        <v>10000</v>
      </c>
      <c r="N63" s="100">
        <v>10000</v>
      </c>
      <c r="O63" s="100">
        <v>30000</v>
      </c>
      <c r="P63" s="100">
        <f t="shared" si="64"/>
        <v>160000</v>
      </c>
      <c r="T63" s="122">
        <v>45826</v>
      </c>
      <c r="U63" s="46" t="str">
        <f t="shared" si="62"/>
        <v>6月</v>
      </c>
      <c r="V63" s="4" t="s">
        <v>157</v>
      </c>
      <c r="W63" s="40">
        <v>1100</v>
      </c>
      <c r="X63" s="67" t="s">
        <v>37</v>
      </c>
      <c r="Y63" s="67" t="s">
        <v>420</v>
      </c>
      <c r="Z63" s="67"/>
      <c r="AB63" s="122"/>
      <c r="AC63" s="4"/>
      <c r="AD63" s="40"/>
      <c r="AE63" s="4"/>
      <c r="AF63" s="67"/>
      <c r="AG63" s="67"/>
      <c r="AI63" s="122"/>
      <c r="AJ63" s="4"/>
      <c r="AK63" s="40"/>
      <c r="AL63" s="4"/>
      <c r="AM63" s="67"/>
      <c r="AN63" s="67"/>
    </row>
    <row r="64" spans="1:40" x14ac:dyDescent="0.4">
      <c r="A64" s="236"/>
      <c r="B64" s="104" t="s">
        <v>171</v>
      </c>
      <c r="C64" s="130">
        <f t="shared" si="37"/>
        <v>0.49059707244136685</v>
      </c>
      <c r="D64" s="101">
        <v>719200</v>
      </c>
      <c r="E64" s="101">
        <v>330863</v>
      </c>
      <c r="F64" s="101">
        <v>380000</v>
      </c>
      <c r="G64" s="101">
        <v>696521</v>
      </c>
      <c r="H64" s="101">
        <v>374000</v>
      </c>
      <c r="I64" s="101">
        <v>350000</v>
      </c>
      <c r="J64" s="101">
        <v>375444</v>
      </c>
      <c r="K64" s="101"/>
      <c r="L64" s="101"/>
      <c r="M64" s="101"/>
      <c r="N64" s="101"/>
      <c r="O64" s="101"/>
      <c r="P64" s="101">
        <f t="shared" si="64"/>
        <v>3226028</v>
      </c>
      <c r="T64" s="42">
        <v>45836</v>
      </c>
      <c r="U64" s="46" t="str">
        <f t="shared" si="62"/>
        <v>6月</v>
      </c>
      <c r="V64" s="4" t="s">
        <v>280</v>
      </c>
      <c r="W64" s="40">
        <v>5558</v>
      </c>
      <c r="X64" s="4" t="s">
        <v>279</v>
      </c>
      <c r="Y64" s="67" t="s">
        <v>327</v>
      </c>
      <c r="Z64" s="67"/>
      <c r="AB64" s="122"/>
      <c r="AC64" s="4"/>
      <c r="AD64" s="40"/>
      <c r="AE64" s="4"/>
      <c r="AF64" s="67"/>
      <c r="AG64" s="67"/>
      <c r="AI64" s="122"/>
      <c r="AJ64" s="4"/>
      <c r="AK64" s="40"/>
      <c r="AL64" s="4"/>
      <c r="AM64" s="67"/>
      <c r="AN64" s="67"/>
    </row>
    <row r="65" spans="1:40" ht="19.5" customHeight="1" thickBot="1" x14ac:dyDescent="0.45">
      <c r="A65" s="233"/>
      <c r="B65" s="111" t="s">
        <v>132</v>
      </c>
      <c r="C65" s="150">
        <f t="shared" si="37"/>
        <v>0.55142693162936729</v>
      </c>
      <c r="D65" s="151">
        <f>SUM(D62:D64)</f>
        <v>749200</v>
      </c>
      <c r="E65" s="151">
        <f t="shared" ref="E65:J65" si="65">SUM(E62:E64)</f>
        <v>360863</v>
      </c>
      <c r="F65" s="151">
        <f t="shared" si="65"/>
        <v>410000</v>
      </c>
      <c r="G65" s="151">
        <f t="shared" si="65"/>
        <v>726521</v>
      </c>
      <c r="H65" s="151">
        <f t="shared" si="65"/>
        <v>404000</v>
      </c>
      <c r="I65" s="151">
        <f t="shared" si="65"/>
        <v>400000</v>
      </c>
      <c r="J65" s="151">
        <f t="shared" si="65"/>
        <v>405444</v>
      </c>
      <c r="K65" s="151">
        <f>SUM(K62:K64)</f>
        <v>30000</v>
      </c>
      <c r="L65" s="151">
        <f>SUM(L62:L64)</f>
        <v>30000</v>
      </c>
      <c r="M65" s="151">
        <f t="shared" ref="M65:O65" si="66">SUM(M62:M64)</f>
        <v>30000</v>
      </c>
      <c r="N65" s="151">
        <f t="shared" si="66"/>
        <v>30000</v>
      </c>
      <c r="O65" s="151">
        <f t="shared" si="66"/>
        <v>50000</v>
      </c>
      <c r="P65" s="151">
        <f t="shared" si="64"/>
        <v>3626028</v>
      </c>
      <c r="T65" s="122">
        <v>45838</v>
      </c>
      <c r="U65" s="46" t="str">
        <f t="shared" si="62"/>
        <v>6月</v>
      </c>
      <c r="V65" s="4" t="s">
        <v>187</v>
      </c>
      <c r="W65" s="40">
        <v>3000</v>
      </c>
      <c r="X65" s="4" t="s">
        <v>279</v>
      </c>
      <c r="Y65" s="67" t="s">
        <v>281</v>
      </c>
      <c r="Z65" s="67"/>
      <c r="AB65" s="122"/>
      <c r="AC65" s="4"/>
      <c r="AD65" s="40"/>
      <c r="AE65" s="4"/>
      <c r="AF65" s="67"/>
      <c r="AG65" s="67"/>
      <c r="AI65" s="122"/>
      <c r="AJ65" s="4"/>
      <c r="AK65" s="40"/>
      <c r="AL65" s="4"/>
      <c r="AM65" s="67"/>
      <c r="AN65" s="67"/>
    </row>
    <row r="66" spans="1:40" ht="19.5" thickTop="1" x14ac:dyDescent="0.4">
      <c r="A66" s="109" t="s">
        <v>131</v>
      </c>
      <c r="B66" s="110"/>
      <c r="C66" s="129">
        <f t="shared" si="37"/>
        <v>0.44579694567194034</v>
      </c>
      <c r="D66" s="100">
        <f t="shared" ref="D66:O66" si="67">D30-D61</f>
        <v>320624</v>
      </c>
      <c r="E66" s="100">
        <f t="shared" si="67"/>
        <v>92020</v>
      </c>
      <c r="F66" s="100">
        <f t="shared" si="67"/>
        <v>375991</v>
      </c>
      <c r="G66" s="100">
        <f t="shared" si="67"/>
        <v>202795</v>
      </c>
      <c r="H66" s="100">
        <f t="shared" si="67"/>
        <v>437720</v>
      </c>
      <c r="I66" s="100">
        <f t="shared" si="67"/>
        <v>1505121</v>
      </c>
      <c r="J66" s="100">
        <f t="shared" si="67"/>
        <v>127208</v>
      </c>
      <c r="K66" s="100">
        <f t="shared" si="67"/>
        <v>357584</v>
      </c>
      <c r="L66" s="100">
        <f t="shared" si="67"/>
        <v>-122353</v>
      </c>
      <c r="M66" s="100">
        <f t="shared" si="67"/>
        <v>-122353</v>
      </c>
      <c r="N66" s="100">
        <f t="shared" si="67"/>
        <v>-121587</v>
      </c>
      <c r="O66" s="100">
        <f t="shared" si="67"/>
        <v>-121335</v>
      </c>
      <c r="P66" s="100">
        <f t="shared" si="64"/>
        <v>2931435</v>
      </c>
      <c r="T66" s="122">
        <v>45842</v>
      </c>
      <c r="U66" s="46" t="str">
        <f t="shared" si="62"/>
        <v>7月</v>
      </c>
      <c r="V66" s="4" t="s">
        <v>165</v>
      </c>
      <c r="W66" s="40">
        <v>100000</v>
      </c>
      <c r="X66" s="46" t="s">
        <v>136</v>
      </c>
      <c r="Y66" s="67" t="s">
        <v>415</v>
      </c>
      <c r="Z66" s="67"/>
      <c r="AB66" s="122"/>
      <c r="AC66" s="4"/>
      <c r="AD66" s="40"/>
      <c r="AE66" s="4"/>
      <c r="AF66" s="67"/>
      <c r="AG66" s="67"/>
      <c r="AI66" s="122"/>
      <c r="AJ66" s="4"/>
      <c r="AK66" s="40"/>
      <c r="AL66" s="4"/>
      <c r="AM66" s="67"/>
      <c r="AN66" s="67"/>
    </row>
    <row r="67" spans="1:40" x14ac:dyDescent="0.4">
      <c r="C67" s="196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T67" s="122">
        <v>45842</v>
      </c>
      <c r="U67" s="46" t="str">
        <f t="shared" ref="U67:U70" si="68">IF(ISBLANK(T67),"",MONTH(T67)&amp;"月")</f>
        <v>7月</v>
      </c>
      <c r="V67" s="4" t="s">
        <v>165</v>
      </c>
      <c r="W67" s="40">
        <v>9663</v>
      </c>
      <c r="X67" s="4" t="s">
        <v>33</v>
      </c>
      <c r="Y67" s="67" t="s">
        <v>414</v>
      </c>
      <c r="Z67" s="67"/>
      <c r="AB67" s="122"/>
      <c r="AC67" s="4"/>
      <c r="AD67" s="40"/>
      <c r="AE67" s="4"/>
      <c r="AF67" s="67"/>
      <c r="AG67" s="67"/>
      <c r="AI67" s="122"/>
      <c r="AJ67" s="4"/>
      <c r="AK67" s="40"/>
      <c r="AL67" s="4"/>
      <c r="AM67" s="67"/>
      <c r="AN67" s="67"/>
    </row>
    <row r="68" spans="1:40" x14ac:dyDescent="0.4">
      <c r="A68" t="s">
        <v>438</v>
      </c>
      <c r="T68" s="122">
        <v>45843</v>
      </c>
      <c r="U68" s="46" t="str">
        <f t="shared" si="68"/>
        <v>7月</v>
      </c>
      <c r="V68" s="4" t="s">
        <v>72</v>
      </c>
      <c r="W68" s="40">
        <v>1399</v>
      </c>
      <c r="X68" s="67" t="s">
        <v>237</v>
      </c>
      <c r="Y68" s="67" t="s">
        <v>422</v>
      </c>
      <c r="Z68" s="67"/>
      <c r="AB68" s="122"/>
      <c r="AC68" s="4"/>
      <c r="AD68" s="40"/>
      <c r="AE68" s="4"/>
      <c r="AF68" s="67"/>
      <c r="AG68" s="67"/>
      <c r="AI68" s="122"/>
      <c r="AJ68" s="4"/>
      <c r="AK68" s="40"/>
      <c r="AL68" s="4"/>
      <c r="AM68" s="67"/>
      <c r="AN68" s="67"/>
    </row>
    <row r="69" spans="1:40" ht="19.5" thickBot="1" x14ac:dyDescent="0.45">
      <c r="A69" s="234" t="s">
        <v>140</v>
      </c>
      <c r="B69" s="235"/>
      <c r="C69" s="118"/>
      <c r="D69" s="118" t="s">
        <v>76</v>
      </c>
      <c r="E69" s="118" t="s">
        <v>77</v>
      </c>
      <c r="F69" s="118" t="s">
        <v>78</v>
      </c>
      <c r="G69" s="118" t="s">
        <v>79</v>
      </c>
      <c r="H69" s="118" t="s">
        <v>80</v>
      </c>
      <c r="I69" s="118" t="s">
        <v>81</v>
      </c>
      <c r="J69" s="118" t="s">
        <v>82</v>
      </c>
      <c r="K69" s="118" t="s">
        <v>83</v>
      </c>
      <c r="L69" s="118" t="s">
        <v>84</v>
      </c>
      <c r="M69" s="118" t="s">
        <v>85</v>
      </c>
      <c r="N69" s="118" t="s">
        <v>86</v>
      </c>
      <c r="O69" s="118" t="s">
        <v>87</v>
      </c>
      <c r="P69" s="118" t="s">
        <v>99</v>
      </c>
      <c r="T69" s="122">
        <v>45851</v>
      </c>
      <c r="U69" s="46" t="str">
        <f>IF(ISBLANK(T69),"",MONTH(T69)&amp;"月")</f>
        <v>7月</v>
      </c>
      <c r="V69" s="4" t="s">
        <v>193</v>
      </c>
      <c r="W69" s="40">
        <v>10480</v>
      </c>
      <c r="X69" s="4" t="s">
        <v>33</v>
      </c>
      <c r="Y69" s="67" t="s">
        <v>392</v>
      </c>
      <c r="Z69" s="67"/>
      <c r="AB69" s="122"/>
      <c r="AC69" s="4"/>
      <c r="AD69" s="40"/>
      <c r="AE69" s="4"/>
      <c r="AF69" s="67"/>
      <c r="AG69" s="67"/>
      <c r="AI69" s="122"/>
      <c r="AJ69" s="4"/>
      <c r="AK69" s="40"/>
      <c r="AL69" s="4"/>
      <c r="AM69" s="67"/>
      <c r="AN69" s="67"/>
    </row>
    <row r="70" spans="1:40" ht="19.5" thickTop="1" x14ac:dyDescent="0.4">
      <c r="A70" s="240" t="s">
        <v>30</v>
      </c>
      <c r="B70" s="241"/>
      <c r="C70" s="242"/>
      <c r="D70" s="100">
        <f t="shared" ref="D70:J70" si="69">D30</f>
        <v>921551</v>
      </c>
      <c r="E70" s="100">
        <f t="shared" si="69"/>
        <v>641646</v>
      </c>
      <c r="F70" s="100">
        <f t="shared" si="69"/>
        <v>707184</v>
      </c>
      <c r="G70" s="100">
        <f t="shared" si="69"/>
        <v>677765</v>
      </c>
      <c r="H70" s="100">
        <f t="shared" si="69"/>
        <v>757701</v>
      </c>
      <c r="I70" s="100">
        <f t="shared" si="69"/>
        <v>1845018</v>
      </c>
      <c r="J70" s="100">
        <f t="shared" si="69"/>
        <v>511922</v>
      </c>
      <c r="K70" s="100"/>
      <c r="L70" s="100"/>
      <c r="M70" s="100"/>
      <c r="N70" s="100"/>
      <c r="O70" s="100"/>
      <c r="P70" s="100">
        <f>SUM(D70:O70)</f>
        <v>6062787</v>
      </c>
      <c r="R70" s="190" t="s">
        <v>138</v>
      </c>
      <c r="T70" s="122">
        <v>45851</v>
      </c>
      <c r="U70" s="46" t="str">
        <f t="shared" si="68"/>
        <v>7月</v>
      </c>
      <c r="V70" s="4" t="s">
        <v>284</v>
      </c>
      <c r="W70" s="40">
        <v>26738</v>
      </c>
      <c r="X70" s="67" t="s">
        <v>110</v>
      </c>
      <c r="Y70" s="67" t="s">
        <v>394</v>
      </c>
      <c r="Z70" s="67"/>
      <c r="AB70" s="122"/>
      <c r="AC70" s="4"/>
      <c r="AD70" s="40"/>
      <c r="AE70" s="4"/>
      <c r="AF70" s="67"/>
      <c r="AG70" s="67"/>
      <c r="AI70" s="122"/>
      <c r="AJ70" s="4"/>
      <c r="AK70" s="40"/>
      <c r="AL70" s="4"/>
      <c r="AM70" s="67"/>
      <c r="AN70" s="67"/>
    </row>
    <row r="71" spans="1:40" x14ac:dyDescent="0.4">
      <c r="A71" s="209" t="s">
        <v>133</v>
      </c>
      <c r="B71" s="210"/>
      <c r="C71" s="211"/>
      <c r="D71" s="101">
        <f t="shared" ref="D71:J71" si="70">D61</f>
        <v>600927</v>
      </c>
      <c r="E71" s="101">
        <f t="shared" si="70"/>
        <v>549626</v>
      </c>
      <c r="F71" s="101">
        <f t="shared" si="70"/>
        <v>331193</v>
      </c>
      <c r="G71" s="101">
        <f t="shared" si="70"/>
        <v>474970</v>
      </c>
      <c r="H71" s="101">
        <f t="shared" si="70"/>
        <v>319981</v>
      </c>
      <c r="I71" s="101">
        <f t="shared" si="70"/>
        <v>339897</v>
      </c>
      <c r="J71" s="101">
        <f t="shared" si="70"/>
        <v>384714</v>
      </c>
      <c r="K71" s="101"/>
      <c r="L71" s="101"/>
      <c r="M71" s="101"/>
      <c r="N71" s="101"/>
      <c r="O71" s="101"/>
      <c r="P71" s="101">
        <f>SUM(D71:O71)</f>
        <v>3001308</v>
      </c>
      <c r="R71" s="191">
        <f>1-(P71/P70)</f>
        <v>0.50496232178369449</v>
      </c>
      <c r="T71" s="122">
        <v>45852</v>
      </c>
      <c r="U71" s="46" t="str">
        <f t="shared" ref="U71:U74" si="71">IF(ISBLANK(T71),"",MONTH(T71)&amp;"月")</f>
        <v>7月</v>
      </c>
      <c r="V71" s="4" t="s">
        <v>56</v>
      </c>
      <c r="W71" s="40">
        <v>13845</v>
      </c>
      <c r="X71" s="67" t="s">
        <v>110</v>
      </c>
      <c r="Y71" s="67" t="s">
        <v>394</v>
      </c>
      <c r="Z71" s="67"/>
      <c r="AB71" s="122"/>
      <c r="AC71" s="4"/>
      <c r="AD71" s="40"/>
      <c r="AE71" s="4"/>
      <c r="AF71" s="67"/>
      <c r="AG71" s="67"/>
      <c r="AI71" s="122"/>
      <c r="AJ71" s="4"/>
      <c r="AK71" s="40"/>
      <c r="AL71" s="4"/>
      <c r="AM71" s="67"/>
      <c r="AN71" s="67"/>
    </row>
    <row r="72" spans="1:40" x14ac:dyDescent="0.4">
      <c r="A72" s="249" t="s">
        <v>141</v>
      </c>
      <c r="B72" s="250"/>
      <c r="C72" s="251"/>
      <c r="D72" s="101">
        <f t="shared" ref="D72:J72" si="72">D65</f>
        <v>749200</v>
      </c>
      <c r="E72" s="101">
        <f t="shared" si="72"/>
        <v>360863</v>
      </c>
      <c r="F72" s="101">
        <f t="shared" si="72"/>
        <v>410000</v>
      </c>
      <c r="G72" s="101">
        <f t="shared" si="72"/>
        <v>726521</v>
      </c>
      <c r="H72" s="101">
        <f t="shared" si="72"/>
        <v>404000</v>
      </c>
      <c r="I72" s="101">
        <f t="shared" si="72"/>
        <v>400000</v>
      </c>
      <c r="J72" s="101">
        <f t="shared" si="72"/>
        <v>405444</v>
      </c>
      <c r="K72" s="101"/>
      <c r="L72" s="101"/>
      <c r="M72" s="101"/>
      <c r="N72" s="101"/>
      <c r="O72" s="101"/>
      <c r="P72" s="101">
        <f t="shared" ref="P72" si="73">SUM(D72:O72)</f>
        <v>3456028</v>
      </c>
      <c r="T72" s="42">
        <v>45864</v>
      </c>
      <c r="U72" s="46" t="str">
        <f t="shared" si="71"/>
        <v>7月</v>
      </c>
      <c r="V72" s="4" t="s">
        <v>292</v>
      </c>
      <c r="W72" s="40">
        <v>1780</v>
      </c>
      <c r="X72" s="46" t="s">
        <v>188</v>
      </c>
      <c r="Y72" s="67" t="s">
        <v>423</v>
      </c>
      <c r="Z72" s="67"/>
      <c r="AB72" s="122"/>
      <c r="AC72" s="4"/>
      <c r="AD72" s="40"/>
      <c r="AE72" s="4"/>
      <c r="AF72" s="67"/>
      <c r="AG72" s="67"/>
      <c r="AI72" s="122"/>
      <c r="AJ72" s="4"/>
      <c r="AK72" s="40"/>
      <c r="AL72" s="4"/>
      <c r="AM72" s="67"/>
      <c r="AN72" s="67"/>
    </row>
    <row r="73" spans="1:40" x14ac:dyDescent="0.4">
      <c r="A73" s="246" t="s">
        <v>142</v>
      </c>
      <c r="B73" s="247"/>
      <c r="C73" s="248"/>
      <c r="D73" s="101">
        <f>D70-D71-D72</f>
        <v>-428576</v>
      </c>
      <c r="E73" s="101">
        <f t="shared" ref="E73:I73" si="74">E70-E71-E72</f>
        <v>-268843</v>
      </c>
      <c r="F73" s="101">
        <f t="shared" si="74"/>
        <v>-34009</v>
      </c>
      <c r="G73" s="101">
        <f>G70-G71-G72</f>
        <v>-523726</v>
      </c>
      <c r="H73" s="101">
        <f t="shared" si="74"/>
        <v>33720</v>
      </c>
      <c r="I73" s="101">
        <f t="shared" si="74"/>
        <v>1105121</v>
      </c>
      <c r="J73" s="101">
        <f t="shared" ref="J73" si="75">J70-J71-J72</f>
        <v>-278236</v>
      </c>
      <c r="K73" s="101"/>
      <c r="L73" s="101"/>
      <c r="M73" s="101"/>
      <c r="N73" s="101"/>
      <c r="O73" s="101"/>
      <c r="P73" s="101">
        <f>SUM(D73:O73)</f>
        <v>-394549</v>
      </c>
      <c r="T73" s="42">
        <v>45868</v>
      </c>
      <c r="U73" s="46" t="str">
        <f t="shared" si="71"/>
        <v>7月</v>
      </c>
      <c r="V73" s="4" t="s">
        <v>293</v>
      </c>
      <c r="W73" s="40">
        <v>5782</v>
      </c>
      <c r="X73" s="67" t="s">
        <v>218</v>
      </c>
      <c r="Y73" s="67" t="s">
        <v>402</v>
      </c>
      <c r="Z73" s="67"/>
      <c r="AB73" s="122"/>
      <c r="AC73" s="4"/>
      <c r="AD73" s="40"/>
      <c r="AE73" s="4"/>
      <c r="AF73" s="67"/>
      <c r="AG73" s="67"/>
      <c r="AI73" s="122"/>
      <c r="AJ73" s="4"/>
      <c r="AK73" s="40"/>
      <c r="AL73" s="4"/>
      <c r="AM73" s="67"/>
      <c r="AN73" s="67"/>
    </row>
    <row r="74" spans="1:40" x14ac:dyDescent="0.4">
      <c r="A74" s="243" t="s">
        <v>131</v>
      </c>
      <c r="B74" s="244"/>
      <c r="C74" s="245"/>
      <c r="D74" s="101">
        <f t="shared" ref="D74:I74" si="76">D70-D71</f>
        <v>320624</v>
      </c>
      <c r="E74" s="101">
        <f t="shared" si="76"/>
        <v>92020</v>
      </c>
      <c r="F74" s="101">
        <f t="shared" si="76"/>
        <v>375991</v>
      </c>
      <c r="G74" s="101">
        <f t="shared" si="76"/>
        <v>202795</v>
      </c>
      <c r="H74" s="101">
        <f t="shared" si="76"/>
        <v>437720</v>
      </c>
      <c r="I74" s="101">
        <f t="shared" si="76"/>
        <v>1505121</v>
      </c>
      <c r="J74" s="101">
        <f t="shared" ref="J74" si="77">J70-J71</f>
        <v>127208</v>
      </c>
      <c r="K74" s="101"/>
      <c r="L74" s="101"/>
      <c r="M74" s="101"/>
      <c r="N74" s="101"/>
      <c r="O74" s="101"/>
      <c r="P74" s="101">
        <f t="shared" ref="P74" si="78">P70-P71</f>
        <v>3061479</v>
      </c>
      <c r="T74" s="122">
        <v>45873</v>
      </c>
      <c r="U74" s="46" t="str">
        <f t="shared" si="71"/>
        <v>8月</v>
      </c>
      <c r="V74" s="4" t="s">
        <v>187</v>
      </c>
      <c r="W74" s="40">
        <v>7700</v>
      </c>
      <c r="X74" s="4" t="s">
        <v>33</v>
      </c>
      <c r="Y74" s="67" t="s">
        <v>390</v>
      </c>
      <c r="Z74" s="67"/>
      <c r="AB74" s="122"/>
      <c r="AC74" s="4"/>
      <c r="AD74" s="40"/>
      <c r="AE74" s="4"/>
      <c r="AF74" s="67"/>
      <c r="AG74" s="67"/>
      <c r="AI74" s="122"/>
      <c r="AJ74" s="4"/>
      <c r="AK74" s="40"/>
      <c r="AL74" s="4"/>
      <c r="AM74" s="67"/>
      <c r="AN74" s="67"/>
    </row>
    <row r="75" spans="1:40" ht="19.5" customHeight="1" x14ac:dyDescent="0.4">
      <c r="A75" s="221" t="s">
        <v>64</v>
      </c>
      <c r="B75" s="222"/>
      <c r="C75" s="223"/>
      <c r="D75" s="101">
        <f>D74</f>
        <v>320624</v>
      </c>
      <c r="E75" s="101">
        <f t="shared" ref="E75:J75" si="79">E74+D75</f>
        <v>412644</v>
      </c>
      <c r="F75" s="101">
        <f t="shared" si="79"/>
        <v>788635</v>
      </c>
      <c r="G75" s="101">
        <f t="shared" si="79"/>
        <v>991430</v>
      </c>
      <c r="H75" s="101">
        <f t="shared" si="79"/>
        <v>1429150</v>
      </c>
      <c r="I75" s="101">
        <f t="shared" si="79"/>
        <v>2934271</v>
      </c>
      <c r="J75" s="101">
        <f t="shared" si="79"/>
        <v>3061479</v>
      </c>
      <c r="K75" s="101"/>
      <c r="L75" s="101"/>
      <c r="M75" s="101"/>
      <c r="N75" s="101"/>
      <c r="O75" s="101"/>
      <c r="P75" s="200"/>
      <c r="T75" s="42"/>
      <c r="U75" s="46"/>
      <c r="V75" s="4"/>
      <c r="W75" s="40"/>
      <c r="X75" s="67"/>
      <c r="Y75" s="67"/>
      <c r="Z75" s="78"/>
      <c r="AB75" s="122"/>
      <c r="AC75" s="4"/>
      <c r="AD75" s="40"/>
      <c r="AE75" s="4"/>
      <c r="AF75" s="67"/>
      <c r="AG75" s="67"/>
      <c r="AI75" s="122"/>
      <c r="AJ75" s="4"/>
      <c r="AK75" s="40"/>
      <c r="AL75" s="4"/>
      <c r="AM75" s="67"/>
      <c r="AN75" s="67"/>
    </row>
    <row r="76" spans="1:40" ht="19.5" customHeight="1" x14ac:dyDescent="0.4">
      <c r="A76" s="197"/>
      <c r="B76" s="197"/>
      <c r="C76" s="197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T76" s="42"/>
      <c r="U76" s="46"/>
      <c r="V76" s="4"/>
      <c r="W76" s="40"/>
      <c r="X76" s="67"/>
      <c r="Y76" s="67"/>
      <c r="Z76" s="78"/>
      <c r="AB76" s="122"/>
      <c r="AC76" s="4"/>
      <c r="AD76" s="40"/>
      <c r="AE76" s="4"/>
      <c r="AF76" s="67"/>
      <c r="AG76" s="67"/>
      <c r="AI76" s="122"/>
      <c r="AJ76" s="4"/>
      <c r="AK76" s="40"/>
      <c r="AL76" s="4"/>
      <c r="AM76" s="67"/>
      <c r="AN76" s="67"/>
    </row>
    <row r="77" spans="1:40" x14ac:dyDescent="0.4">
      <c r="A77" t="s">
        <v>439</v>
      </c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T77" s="42"/>
      <c r="U77" s="46"/>
      <c r="V77" s="4"/>
      <c r="W77" s="40"/>
      <c r="X77" s="67"/>
      <c r="Y77" s="67"/>
      <c r="Z77" s="67"/>
      <c r="AB77" s="122"/>
      <c r="AC77" s="4"/>
      <c r="AD77" s="40"/>
      <c r="AE77" s="4"/>
      <c r="AF77" s="67"/>
      <c r="AG77" s="67"/>
      <c r="AI77" s="122"/>
      <c r="AJ77" s="4"/>
      <c r="AK77" s="40"/>
      <c r="AL77" s="4"/>
      <c r="AM77" s="67"/>
      <c r="AN77" s="67"/>
    </row>
    <row r="78" spans="1:40" x14ac:dyDescent="0.4">
      <c r="A78" s="239" t="s">
        <v>30</v>
      </c>
      <c r="B78" s="140" t="s">
        <v>111</v>
      </c>
      <c r="C78" s="101">
        <f>P26+P27</f>
        <v>5884113</v>
      </c>
      <c r="D78" s="40">
        <f>C78/10000</f>
        <v>588.41129999999998</v>
      </c>
      <c r="T78" s="42"/>
      <c r="U78" s="46"/>
      <c r="V78" s="4"/>
      <c r="W78" s="40"/>
      <c r="X78" s="4"/>
      <c r="Y78" s="67"/>
      <c r="Z78" s="67"/>
      <c r="AB78" s="122"/>
      <c r="AC78" s="4"/>
      <c r="AD78" s="40"/>
      <c r="AE78" s="4"/>
      <c r="AF78" s="67"/>
      <c r="AG78" s="67"/>
      <c r="AI78" s="122"/>
      <c r="AJ78" s="4"/>
      <c r="AK78" s="40"/>
      <c r="AL78" s="4"/>
      <c r="AM78" s="67"/>
      <c r="AN78" s="67"/>
    </row>
    <row r="79" spans="1:40" x14ac:dyDescent="0.4">
      <c r="A79" s="239"/>
      <c r="B79" s="140" t="s">
        <v>31</v>
      </c>
      <c r="C79" s="101">
        <f>P28</f>
        <v>433707</v>
      </c>
      <c r="D79" s="40">
        <f t="shared" ref="D79:D91" si="80">C79/10000</f>
        <v>43.370699999999999</v>
      </c>
      <c r="T79" s="42"/>
      <c r="U79" s="46"/>
      <c r="V79" s="4"/>
      <c r="W79" s="40"/>
      <c r="X79" s="67"/>
      <c r="Y79" s="67"/>
      <c r="Z79" s="67"/>
      <c r="AB79" s="122"/>
      <c r="AC79" s="4"/>
      <c r="AD79" s="40"/>
      <c r="AE79" s="4"/>
      <c r="AF79" s="67"/>
      <c r="AG79" s="67"/>
      <c r="AI79" s="122"/>
      <c r="AJ79" s="4"/>
      <c r="AK79" s="40"/>
      <c r="AL79" s="4"/>
      <c r="AM79" s="67"/>
      <c r="AN79" s="67"/>
    </row>
    <row r="80" spans="1:40" x14ac:dyDescent="0.4">
      <c r="A80" s="239"/>
      <c r="B80" s="140" t="s">
        <v>45</v>
      </c>
      <c r="C80" s="101">
        <v>0</v>
      </c>
      <c r="D80" s="40">
        <f t="shared" si="80"/>
        <v>0</v>
      </c>
      <c r="T80" s="42"/>
      <c r="U80" s="46"/>
      <c r="V80" s="4"/>
      <c r="W80" s="40"/>
      <c r="X80" s="46"/>
      <c r="Y80" s="67"/>
      <c r="Z80" s="67"/>
      <c r="AB80" s="122"/>
      <c r="AC80" s="4"/>
      <c r="AD80" s="40"/>
      <c r="AE80" s="4"/>
      <c r="AF80" s="67"/>
      <c r="AG80" s="67"/>
      <c r="AI80" s="122"/>
      <c r="AJ80" s="4"/>
      <c r="AK80" s="40"/>
      <c r="AL80" s="4"/>
      <c r="AM80" s="67"/>
      <c r="AN80" s="67"/>
    </row>
    <row r="81" spans="1:40" ht="19.5" customHeight="1" x14ac:dyDescent="0.4">
      <c r="A81" s="239"/>
      <c r="B81" s="140" t="s">
        <v>6</v>
      </c>
      <c r="C81" s="101">
        <f>P29</f>
        <v>257898</v>
      </c>
      <c r="D81" s="40">
        <f t="shared" si="80"/>
        <v>25.7898</v>
      </c>
      <c r="T81" s="42"/>
      <c r="U81" s="46"/>
      <c r="V81" s="4"/>
      <c r="W81" s="40"/>
      <c r="X81" s="46"/>
      <c r="Y81" s="67"/>
      <c r="Z81" s="67"/>
      <c r="AB81" s="122"/>
      <c r="AC81" s="4"/>
      <c r="AD81" s="40"/>
      <c r="AE81" s="4"/>
      <c r="AF81" s="67"/>
      <c r="AG81" s="67"/>
      <c r="AI81" s="122"/>
      <c r="AJ81" s="4"/>
      <c r="AK81" s="40"/>
      <c r="AL81" s="4"/>
      <c r="AM81" s="67"/>
      <c r="AN81" s="67"/>
    </row>
    <row r="82" spans="1:40" x14ac:dyDescent="0.4">
      <c r="A82" s="239"/>
      <c r="B82" s="140" t="s">
        <v>7</v>
      </c>
      <c r="C82" s="101">
        <f>SUM(C78:C81)</f>
        <v>6575718</v>
      </c>
      <c r="D82" s="40">
        <f t="shared" si="80"/>
        <v>657.57180000000005</v>
      </c>
      <c r="T82" s="42"/>
      <c r="U82" s="46"/>
      <c r="V82" s="4"/>
      <c r="W82" s="40"/>
      <c r="X82" s="46"/>
      <c r="Y82" s="67"/>
      <c r="Z82" s="67"/>
      <c r="AB82" s="122"/>
      <c r="AC82" s="4"/>
      <c r="AD82" s="40"/>
      <c r="AE82" s="4"/>
      <c r="AF82" s="67"/>
      <c r="AG82" s="67"/>
      <c r="AI82" s="122"/>
      <c r="AJ82" s="4"/>
      <c r="AK82" s="40"/>
      <c r="AL82" s="4"/>
      <c r="AM82" s="67"/>
      <c r="AN82" s="67"/>
    </row>
    <row r="83" spans="1:40" x14ac:dyDescent="0.4">
      <c r="A83" s="224" t="s">
        <v>35</v>
      </c>
      <c r="B83" s="141" t="s">
        <v>8</v>
      </c>
      <c r="C83" s="101">
        <f>P57</f>
        <v>2097461</v>
      </c>
      <c r="D83" s="40">
        <f t="shared" si="80"/>
        <v>209.74610000000001</v>
      </c>
      <c r="T83" s="42"/>
      <c r="U83" s="46"/>
      <c r="V83" s="4"/>
      <c r="W83" s="40"/>
      <c r="X83" s="46"/>
      <c r="Y83" s="67"/>
      <c r="Z83" s="67"/>
      <c r="AB83" s="122"/>
      <c r="AC83" s="4"/>
      <c r="AD83" s="40"/>
      <c r="AE83" s="4"/>
      <c r="AF83" s="67"/>
      <c r="AG83" s="67"/>
      <c r="AI83" s="121"/>
      <c r="AJ83" s="46"/>
      <c r="AK83" s="73"/>
      <c r="AL83" s="46"/>
      <c r="AM83" s="74"/>
      <c r="AN83" s="74"/>
    </row>
    <row r="84" spans="1:40" x14ac:dyDescent="0.4">
      <c r="A84" s="224"/>
      <c r="B84" s="141" t="s">
        <v>43</v>
      </c>
      <c r="C84" s="101">
        <f>P44</f>
        <v>140401</v>
      </c>
      <c r="D84" s="40">
        <f t="shared" si="80"/>
        <v>14.040100000000001</v>
      </c>
      <c r="T84" s="42"/>
      <c r="U84" s="46"/>
      <c r="V84" s="4"/>
      <c r="W84" s="40"/>
      <c r="X84" s="46"/>
      <c r="Y84" s="67"/>
      <c r="Z84" s="67"/>
      <c r="AB84" s="122"/>
      <c r="AC84" s="4"/>
      <c r="AD84" s="40"/>
      <c r="AE84" s="4"/>
      <c r="AF84" s="67"/>
      <c r="AG84" s="67"/>
      <c r="AI84" s="122"/>
      <c r="AJ84" s="4"/>
      <c r="AK84" s="40"/>
      <c r="AL84" s="4"/>
      <c r="AM84" s="67"/>
      <c r="AN84" s="67"/>
    </row>
    <row r="85" spans="1:40" x14ac:dyDescent="0.4">
      <c r="A85" s="224"/>
      <c r="B85" s="141" t="s">
        <v>125</v>
      </c>
      <c r="C85" s="101">
        <f>P43+P58</f>
        <v>118767</v>
      </c>
      <c r="D85" s="40">
        <f t="shared" si="80"/>
        <v>11.8767</v>
      </c>
      <c r="T85" s="42"/>
      <c r="U85" s="46"/>
      <c r="V85" s="4"/>
      <c r="W85" s="40"/>
      <c r="X85" s="67"/>
      <c r="Y85" s="67"/>
      <c r="Z85" s="67"/>
      <c r="AB85" s="122"/>
      <c r="AC85" s="4"/>
      <c r="AD85" s="40"/>
      <c r="AE85" s="4"/>
      <c r="AF85" s="67"/>
      <c r="AG85" s="67"/>
      <c r="AI85" s="122"/>
      <c r="AJ85" s="4"/>
      <c r="AK85" s="40"/>
      <c r="AL85" s="4"/>
      <c r="AM85" s="67"/>
      <c r="AN85" s="67"/>
    </row>
    <row r="86" spans="1:40" x14ac:dyDescent="0.4">
      <c r="A86" s="224"/>
      <c r="B86" s="141" t="s">
        <v>9</v>
      </c>
      <c r="C86" s="101">
        <f>P59</f>
        <v>65770</v>
      </c>
      <c r="D86" s="40">
        <f t="shared" si="80"/>
        <v>6.577</v>
      </c>
      <c r="T86" s="42"/>
      <c r="U86" s="46"/>
      <c r="V86" s="4"/>
      <c r="W86" s="40"/>
      <c r="X86" s="67"/>
      <c r="Y86" s="67"/>
      <c r="Z86" s="67"/>
      <c r="AB86" s="122"/>
      <c r="AC86" s="4"/>
      <c r="AD86" s="40"/>
      <c r="AE86" s="4"/>
      <c r="AF86" s="67"/>
      <c r="AG86" s="67"/>
      <c r="AI86" s="122"/>
      <c r="AJ86" s="4"/>
      <c r="AK86" s="40"/>
      <c r="AL86" s="4"/>
      <c r="AM86" s="67"/>
      <c r="AN86" s="67"/>
    </row>
    <row r="87" spans="1:40" x14ac:dyDescent="0.4">
      <c r="A87" s="224"/>
      <c r="B87" s="141" t="s">
        <v>11</v>
      </c>
      <c r="C87" s="101">
        <f>P34+P60</f>
        <v>345849</v>
      </c>
      <c r="D87" s="40">
        <f t="shared" si="80"/>
        <v>34.584899999999998</v>
      </c>
      <c r="T87" s="42"/>
      <c r="U87" s="46"/>
      <c r="V87" s="4"/>
      <c r="W87" s="40"/>
      <c r="X87" s="67"/>
      <c r="Y87" s="67"/>
      <c r="Z87" s="67"/>
      <c r="AB87" s="122"/>
      <c r="AC87" s="4"/>
      <c r="AD87" s="40"/>
      <c r="AE87" s="4"/>
      <c r="AF87" s="67"/>
      <c r="AG87" s="67"/>
      <c r="AI87" s="122"/>
      <c r="AJ87" s="4"/>
      <c r="AK87" s="40"/>
      <c r="AL87" s="4"/>
      <c r="AM87" s="67"/>
      <c r="AN87" s="67"/>
    </row>
    <row r="88" spans="1:40" ht="18.75" customHeight="1" x14ac:dyDescent="0.4">
      <c r="A88" s="224"/>
      <c r="B88" s="141" t="s">
        <v>12</v>
      </c>
      <c r="C88" s="101">
        <v>0</v>
      </c>
      <c r="D88" s="40">
        <f t="shared" si="80"/>
        <v>0</v>
      </c>
      <c r="T88" s="42"/>
      <c r="U88" s="46"/>
      <c r="V88" s="4"/>
      <c r="W88" s="40"/>
      <c r="X88" s="4"/>
      <c r="Y88" s="67"/>
      <c r="Z88" s="67"/>
      <c r="AB88" s="122"/>
      <c r="AC88" s="4"/>
      <c r="AD88" s="40"/>
      <c r="AE88" s="4"/>
      <c r="AF88" s="4"/>
      <c r="AG88" s="67"/>
      <c r="AI88" s="122"/>
      <c r="AJ88" s="4"/>
      <c r="AK88" s="40"/>
      <c r="AL88" s="4"/>
      <c r="AM88" s="67"/>
      <c r="AN88" s="67"/>
    </row>
    <row r="89" spans="1:40" x14ac:dyDescent="0.4">
      <c r="A89" s="224"/>
      <c r="B89" s="141" t="s">
        <v>41</v>
      </c>
      <c r="C89" s="101">
        <f>P38-P34</f>
        <v>101595</v>
      </c>
      <c r="D89" s="40">
        <f t="shared" si="80"/>
        <v>10.1595</v>
      </c>
      <c r="T89" s="42"/>
      <c r="U89" s="46"/>
      <c r="V89" s="4"/>
      <c r="W89" s="40"/>
      <c r="X89" s="67"/>
      <c r="Y89" s="67"/>
      <c r="Z89" s="67"/>
      <c r="AB89" s="122"/>
      <c r="AC89" s="4"/>
      <c r="AD89" s="40"/>
      <c r="AE89" s="4"/>
      <c r="AF89" s="67"/>
      <c r="AG89" s="67"/>
      <c r="AI89" s="122"/>
      <c r="AJ89" s="4"/>
      <c r="AK89" s="40"/>
      <c r="AL89" s="4"/>
      <c r="AM89" s="67"/>
      <c r="AN89" s="67"/>
    </row>
    <row r="90" spans="1:40" x14ac:dyDescent="0.4">
      <c r="A90" s="224"/>
      <c r="B90" s="141" t="s">
        <v>10</v>
      </c>
      <c r="C90" s="101">
        <f>P47-P43-P44</f>
        <v>774440</v>
      </c>
      <c r="D90" s="40">
        <f t="shared" si="80"/>
        <v>77.444000000000003</v>
      </c>
      <c r="T90" s="42"/>
      <c r="U90" s="46"/>
      <c r="V90" s="4"/>
      <c r="W90" s="40"/>
      <c r="X90" s="67"/>
      <c r="Y90" s="67"/>
      <c r="Z90" s="67"/>
      <c r="AB90" s="122"/>
      <c r="AC90" s="4"/>
      <c r="AD90" s="40"/>
      <c r="AE90" s="4"/>
      <c r="AF90" s="67"/>
      <c r="AG90" s="67"/>
      <c r="AI90" s="122"/>
      <c r="AJ90" s="4"/>
      <c r="AK90" s="40"/>
      <c r="AL90" s="4"/>
      <c r="AM90" s="67"/>
      <c r="AN90" s="67"/>
    </row>
    <row r="91" spans="1:40" x14ac:dyDescent="0.4">
      <c r="A91" s="224"/>
      <c r="B91" s="141" t="s">
        <v>13</v>
      </c>
      <c r="C91" s="101">
        <f>SUM(C83:C90)</f>
        <v>3644283</v>
      </c>
      <c r="D91" s="40">
        <f t="shared" si="80"/>
        <v>364.42829999999998</v>
      </c>
      <c r="T91" s="42"/>
      <c r="U91" s="46"/>
      <c r="V91" s="4"/>
      <c r="W91" s="40"/>
      <c r="X91" s="67"/>
      <c r="Y91" s="67"/>
      <c r="Z91" s="67"/>
      <c r="AB91" s="122"/>
      <c r="AC91" s="4"/>
      <c r="AD91" s="40"/>
      <c r="AE91" s="4"/>
      <c r="AF91" s="67"/>
      <c r="AG91" s="67"/>
      <c r="AI91" s="122"/>
      <c r="AJ91" s="4"/>
      <c r="AK91" s="40"/>
      <c r="AL91" s="4"/>
      <c r="AM91" s="67"/>
      <c r="AN91" s="67"/>
    </row>
    <row r="92" spans="1:40" x14ac:dyDescent="0.4">
      <c r="T92" s="42"/>
      <c r="U92" s="46"/>
      <c r="V92" s="4"/>
      <c r="W92" s="40"/>
      <c r="X92" s="67"/>
      <c r="Y92" s="67"/>
      <c r="Z92" s="67"/>
      <c r="AB92" s="122"/>
      <c r="AC92" s="4"/>
      <c r="AD92" s="40"/>
      <c r="AE92" s="4"/>
      <c r="AF92" s="67"/>
      <c r="AG92" s="67"/>
      <c r="AI92" s="122"/>
      <c r="AJ92" s="4"/>
      <c r="AK92" s="40"/>
      <c r="AL92" s="4"/>
      <c r="AM92" s="67"/>
      <c r="AN92" s="67"/>
    </row>
    <row r="93" spans="1:40" x14ac:dyDescent="0.4">
      <c r="T93" s="42"/>
      <c r="U93" s="46"/>
      <c r="V93" s="4"/>
      <c r="W93" s="40"/>
      <c r="X93" s="67"/>
      <c r="Y93" s="67"/>
      <c r="Z93" s="67"/>
      <c r="AB93" s="122"/>
      <c r="AC93" s="4"/>
      <c r="AD93" s="40"/>
      <c r="AE93" s="4"/>
      <c r="AF93" s="67"/>
      <c r="AG93" s="67"/>
      <c r="AI93" s="122"/>
      <c r="AJ93" s="4"/>
      <c r="AK93" s="40"/>
      <c r="AL93" s="4"/>
      <c r="AM93" s="67"/>
      <c r="AN93" s="67"/>
    </row>
    <row r="94" spans="1:40" ht="19.5" customHeight="1" x14ac:dyDescent="0.4">
      <c r="T94" s="42"/>
      <c r="U94" s="46"/>
      <c r="V94" s="4"/>
      <c r="W94" s="40"/>
      <c r="X94" s="4"/>
      <c r="Y94" s="67"/>
      <c r="Z94" s="117"/>
      <c r="AB94" s="122"/>
      <c r="AC94" s="4"/>
      <c r="AD94" s="40"/>
      <c r="AE94" s="4"/>
      <c r="AF94" s="67"/>
      <c r="AG94" s="67"/>
      <c r="AI94" s="122"/>
      <c r="AJ94" s="4"/>
      <c r="AK94" s="40"/>
      <c r="AL94" s="4"/>
      <c r="AM94" s="67"/>
      <c r="AN94" s="67"/>
    </row>
    <row r="95" spans="1:40" x14ac:dyDescent="0.4">
      <c r="T95" s="42"/>
      <c r="U95" s="46"/>
      <c r="V95" s="4"/>
      <c r="W95" s="40"/>
      <c r="X95" s="4"/>
      <c r="Y95" s="67"/>
      <c r="Z95" s="117"/>
      <c r="AB95" s="122"/>
      <c r="AC95" s="4"/>
      <c r="AD95" s="40"/>
      <c r="AE95" s="4"/>
      <c r="AF95" s="67"/>
      <c r="AG95" s="67"/>
      <c r="AI95" s="122"/>
      <c r="AJ95" s="4"/>
      <c r="AK95" s="40"/>
      <c r="AL95" s="4"/>
      <c r="AM95" s="67"/>
      <c r="AN95" s="67"/>
    </row>
    <row r="96" spans="1:40" x14ac:dyDescent="0.4">
      <c r="T96" s="42"/>
      <c r="U96" s="46"/>
      <c r="V96" s="4"/>
      <c r="W96" s="40"/>
      <c r="X96" s="4"/>
      <c r="Y96" s="67"/>
      <c r="Z96" s="117"/>
      <c r="AB96" s="122"/>
      <c r="AC96" s="4"/>
      <c r="AD96" s="40"/>
      <c r="AE96" s="4"/>
      <c r="AF96" s="67"/>
      <c r="AG96" s="67"/>
      <c r="AI96" s="122"/>
      <c r="AJ96" s="4"/>
      <c r="AK96" s="40"/>
      <c r="AL96" s="4"/>
      <c r="AM96" s="67"/>
      <c r="AN96" s="67"/>
    </row>
    <row r="97" spans="20:40" x14ac:dyDescent="0.4">
      <c r="T97" s="42"/>
      <c r="U97" s="46"/>
      <c r="V97" s="4"/>
      <c r="W97" s="40"/>
      <c r="X97" s="4"/>
      <c r="Y97" s="67"/>
      <c r="Z97" s="117"/>
      <c r="AB97" s="122"/>
      <c r="AC97" s="4"/>
      <c r="AD97" s="40"/>
      <c r="AE97" s="4"/>
      <c r="AF97" s="67"/>
      <c r="AG97" s="67"/>
      <c r="AI97" s="122"/>
      <c r="AJ97" s="4"/>
      <c r="AK97" s="40"/>
      <c r="AL97" s="4"/>
      <c r="AM97" s="67"/>
      <c r="AN97" s="67"/>
    </row>
    <row r="98" spans="20:40" x14ac:dyDescent="0.4">
      <c r="T98" s="42"/>
      <c r="U98" s="46"/>
      <c r="V98" s="4"/>
      <c r="W98" s="40"/>
      <c r="X98" s="4"/>
      <c r="Y98" s="67"/>
      <c r="Z98" s="117"/>
      <c r="AB98" s="122"/>
      <c r="AC98" s="4"/>
      <c r="AD98" s="40"/>
      <c r="AE98" s="4"/>
      <c r="AF98" s="67"/>
      <c r="AG98" s="67"/>
      <c r="AI98" s="122"/>
      <c r="AJ98" s="4"/>
      <c r="AK98" s="40"/>
      <c r="AL98" s="4"/>
      <c r="AM98" s="67"/>
      <c r="AN98" s="67"/>
    </row>
    <row r="99" spans="20:40" ht="19.5" customHeight="1" x14ac:dyDescent="0.4">
      <c r="T99" s="42"/>
      <c r="U99" s="46"/>
      <c r="V99" s="4"/>
      <c r="W99" s="40"/>
      <c r="X99" s="4"/>
      <c r="Y99" s="67"/>
      <c r="Z99" s="117"/>
      <c r="AB99" s="122"/>
      <c r="AC99" s="4"/>
      <c r="AD99" s="40"/>
      <c r="AE99" s="4"/>
      <c r="AF99" s="67"/>
      <c r="AG99" s="67"/>
      <c r="AI99" s="122"/>
      <c r="AJ99" s="4"/>
      <c r="AK99" s="40"/>
      <c r="AL99" s="4"/>
      <c r="AM99" s="67"/>
      <c r="AN99" s="67"/>
    </row>
    <row r="100" spans="20:40" x14ac:dyDescent="0.4">
      <c r="T100" s="42"/>
      <c r="U100" s="46"/>
      <c r="V100" s="4"/>
      <c r="W100" s="40"/>
      <c r="X100" s="4"/>
      <c r="Y100" s="67"/>
      <c r="Z100" s="117"/>
      <c r="AB100" s="122"/>
      <c r="AC100" s="4"/>
      <c r="AD100" s="40"/>
      <c r="AE100" s="4"/>
      <c r="AF100" s="67"/>
      <c r="AG100" s="67"/>
      <c r="AI100" s="122"/>
      <c r="AJ100" s="4"/>
      <c r="AK100" s="40"/>
      <c r="AL100" s="4"/>
      <c r="AM100" s="67"/>
      <c r="AN100" s="67"/>
    </row>
    <row r="101" spans="20:40" x14ac:dyDescent="0.4">
      <c r="T101" s="42"/>
      <c r="U101" s="46"/>
      <c r="V101" s="4"/>
      <c r="W101" s="40"/>
      <c r="X101" s="4"/>
      <c r="Y101" s="67"/>
      <c r="Z101" s="117"/>
      <c r="AB101" s="122"/>
      <c r="AC101" s="4"/>
      <c r="AD101" s="40"/>
      <c r="AE101" s="4"/>
      <c r="AF101" s="67"/>
      <c r="AG101" s="67"/>
    </row>
    <row r="102" spans="20:40" x14ac:dyDescent="0.4">
      <c r="T102" s="42"/>
      <c r="U102" s="46"/>
      <c r="V102" s="4"/>
      <c r="W102" s="40"/>
      <c r="X102" s="4"/>
      <c r="Y102" s="67"/>
      <c r="Z102" s="117"/>
      <c r="AB102" s="122"/>
      <c r="AC102" s="4"/>
      <c r="AD102" s="40"/>
      <c r="AE102" s="4"/>
      <c r="AF102" s="67"/>
      <c r="AG102" s="67"/>
    </row>
    <row r="103" spans="20:40" x14ac:dyDescent="0.4">
      <c r="T103" s="42"/>
      <c r="U103" s="46"/>
      <c r="V103" s="4"/>
      <c r="W103" s="40"/>
      <c r="X103" s="4"/>
      <c r="Y103" s="67"/>
      <c r="Z103" s="67"/>
      <c r="AB103" s="122"/>
      <c r="AC103" s="4"/>
      <c r="AD103" s="40"/>
      <c r="AE103" s="4"/>
      <c r="AF103" s="67"/>
      <c r="AG103" s="67"/>
    </row>
    <row r="104" spans="20:40" x14ac:dyDescent="0.4">
      <c r="T104" s="42"/>
      <c r="U104" s="46"/>
      <c r="V104" s="4"/>
      <c r="W104" s="40"/>
      <c r="X104" s="46"/>
      <c r="Y104" s="67"/>
      <c r="Z104" s="67"/>
      <c r="AB104" s="122"/>
      <c r="AC104" s="4"/>
      <c r="AD104" s="40"/>
      <c r="AE104" s="4"/>
      <c r="AF104" s="67"/>
      <c r="AG104" s="67"/>
    </row>
    <row r="105" spans="20:40" x14ac:dyDescent="0.4">
      <c r="T105" s="42"/>
      <c r="U105" s="46"/>
      <c r="V105" s="4"/>
      <c r="W105" s="29"/>
      <c r="X105" s="46"/>
      <c r="Y105" s="67"/>
      <c r="Z105" s="67"/>
      <c r="AB105" s="122"/>
      <c r="AC105" s="4"/>
      <c r="AD105" s="40"/>
      <c r="AE105" s="4"/>
      <c r="AF105" s="67"/>
      <c r="AG105" s="67"/>
    </row>
    <row r="106" spans="20:40" x14ac:dyDescent="0.4">
      <c r="T106" s="42"/>
      <c r="U106" s="46"/>
      <c r="V106" s="4"/>
      <c r="W106" s="40"/>
      <c r="X106" s="4"/>
      <c r="Y106" s="67"/>
      <c r="Z106" s="67"/>
      <c r="AB106" s="122"/>
      <c r="AC106" s="4"/>
      <c r="AD106" s="40"/>
      <c r="AE106" s="4"/>
      <c r="AF106" s="4"/>
      <c r="AG106" s="67"/>
    </row>
    <row r="107" spans="20:40" ht="18.75" customHeight="1" x14ac:dyDescent="0.4">
      <c r="T107" s="42"/>
      <c r="U107" s="46"/>
      <c r="V107" s="4"/>
      <c r="W107" s="40"/>
      <c r="X107" s="67"/>
      <c r="Y107" s="67"/>
      <c r="Z107" s="67"/>
      <c r="AB107" s="122"/>
      <c r="AC107" s="4"/>
      <c r="AD107" s="40"/>
      <c r="AE107" s="4"/>
      <c r="AF107" s="67"/>
      <c r="AG107" s="67"/>
    </row>
    <row r="108" spans="20:40" x14ac:dyDescent="0.4">
      <c r="T108" s="42"/>
      <c r="U108" s="46"/>
      <c r="V108" s="4"/>
      <c r="W108" s="40"/>
      <c r="X108" s="67"/>
      <c r="Y108" s="67"/>
      <c r="Z108" s="117"/>
      <c r="AB108" s="122"/>
      <c r="AC108" s="4"/>
      <c r="AD108" s="40"/>
      <c r="AE108" s="4"/>
      <c r="AF108" s="67"/>
      <c r="AG108" s="67"/>
    </row>
    <row r="109" spans="20:40" x14ac:dyDescent="0.4">
      <c r="T109" s="42"/>
      <c r="U109" s="46"/>
      <c r="V109" s="4"/>
      <c r="W109" s="29"/>
      <c r="X109" s="67"/>
      <c r="Z109" s="117"/>
      <c r="AB109" s="122"/>
      <c r="AC109" s="4"/>
      <c r="AD109" s="40"/>
      <c r="AE109" s="4"/>
      <c r="AF109" s="67"/>
      <c r="AG109" s="67"/>
    </row>
    <row r="110" spans="20:40" x14ac:dyDescent="0.4">
      <c r="T110" s="42"/>
      <c r="U110" s="46"/>
      <c r="V110" s="4"/>
      <c r="W110" s="40"/>
      <c r="X110" s="4"/>
      <c r="Y110" s="67"/>
      <c r="Z110" s="117"/>
      <c r="AB110" s="122"/>
      <c r="AC110" s="4"/>
      <c r="AD110" s="40"/>
      <c r="AE110" s="4"/>
      <c r="AF110" s="67"/>
      <c r="AG110" s="67"/>
    </row>
    <row r="111" spans="20:40" x14ac:dyDescent="0.4">
      <c r="T111" s="42"/>
      <c r="U111" s="46"/>
      <c r="V111" s="4"/>
      <c r="W111" s="40"/>
      <c r="X111" s="4"/>
      <c r="Y111" s="67"/>
      <c r="Z111" s="117"/>
      <c r="AB111" s="122"/>
      <c r="AC111" s="4"/>
      <c r="AD111" s="40"/>
      <c r="AE111" s="4"/>
      <c r="AF111" s="67"/>
      <c r="AG111" s="67"/>
    </row>
    <row r="112" spans="20:40" x14ac:dyDescent="0.4">
      <c r="T112" s="42"/>
      <c r="U112" s="46"/>
      <c r="V112" s="4"/>
      <c r="W112" s="40"/>
      <c r="X112" s="67"/>
      <c r="Y112" s="67"/>
      <c r="Z112" s="67"/>
      <c r="AB112" s="122"/>
      <c r="AC112" s="4"/>
      <c r="AD112" s="40"/>
      <c r="AE112" s="4"/>
      <c r="AF112" s="67"/>
      <c r="AG112" s="67"/>
    </row>
    <row r="113" spans="20:33" x14ac:dyDescent="0.4">
      <c r="T113" s="42"/>
      <c r="U113" s="46"/>
      <c r="V113" s="4"/>
      <c r="W113" s="40"/>
      <c r="X113" s="4"/>
      <c r="Y113" s="67"/>
      <c r="Z113" s="67"/>
      <c r="AB113" s="122"/>
      <c r="AC113" s="4"/>
      <c r="AD113" s="40"/>
      <c r="AE113" s="4"/>
      <c r="AF113" s="67"/>
      <c r="AG113" s="67"/>
    </row>
    <row r="114" spans="20:33" x14ac:dyDescent="0.4">
      <c r="T114" s="42"/>
      <c r="U114" s="46"/>
      <c r="V114" s="4"/>
      <c r="W114" s="40"/>
      <c r="X114" s="67"/>
      <c r="Y114" s="67"/>
      <c r="Z114" s="67"/>
      <c r="AB114" s="122"/>
      <c r="AC114" s="4"/>
      <c r="AD114" s="40"/>
      <c r="AE114" s="4"/>
      <c r="AF114" s="67"/>
      <c r="AG114" s="67"/>
    </row>
    <row r="115" spans="20:33" x14ac:dyDescent="0.4">
      <c r="T115" s="42"/>
      <c r="U115" s="46"/>
      <c r="V115" s="4"/>
      <c r="W115" s="40"/>
      <c r="X115" s="67"/>
      <c r="Y115" s="67"/>
      <c r="Z115" s="67"/>
      <c r="AB115" s="122"/>
      <c r="AC115" s="4"/>
      <c r="AD115" s="40"/>
      <c r="AE115" s="4"/>
      <c r="AF115" s="67"/>
      <c r="AG115" s="67"/>
    </row>
    <row r="116" spans="20:33" ht="18.75" customHeight="1" x14ac:dyDescent="0.4">
      <c r="T116" s="42"/>
      <c r="U116" s="46"/>
      <c r="V116" s="4"/>
      <c r="W116" s="40"/>
      <c r="X116" s="67"/>
      <c r="Y116" s="67"/>
      <c r="Z116" s="67"/>
      <c r="AB116" s="122"/>
      <c r="AC116" s="4"/>
      <c r="AD116" s="40"/>
      <c r="AE116" s="4"/>
      <c r="AF116" s="67"/>
      <c r="AG116" s="67"/>
    </row>
    <row r="117" spans="20:33" x14ac:dyDescent="0.4">
      <c r="T117" s="42"/>
      <c r="U117" s="46"/>
      <c r="V117" s="4"/>
      <c r="W117" s="40"/>
      <c r="X117" s="67"/>
      <c r="Y117" s="67"/>
      <c r="Z117" s="67"/>
      <c r="AB117" s="122"/>
      <c r="AC117" s="4"/>
      <c r="AD117" s="40"/>
      <c r="AE117" s="4"/>
      <c r="AF117" s="67"/>
      <c r="AG117" s="67"/>
    </row>
    <row r="118" spans="20:33" x14ac:dyDescent="0.4">
      <c r="T118" s="42"/>
      <c r="U118" s="46"/>
      <c r="V118" s="4"/>
      <c r="W118" s="40"/>
      <c r="X118" s="67"/>
      <c r="Y118" s="67"/>
      <c r="Z118" s="67"/>
      <c r="AB118" s="122"/>
      <c r="AC118" s="4"/>
      <c r="AD118" s="40"/>
      <c r="AE118" s="4"/>
      <c r="AF118" s="67"/>
      <c r="AG118" s="67"/>
    </row>
    <row r="119" spans="20:33" x14ac:dyDescent="0.4">
      <c r="T119" s="42"/>
      <c r="U119" s="46"/>
      <c r="V119" s="4"/>
      <c r="W119" s="40"/>
      <c r="X119" s="67"/>
      <c r="Y119" s="67"/>
      <c r="Z119" s="67"/>
      <c r="AB119" s="122"/>
      <c r="AC119" s="4"/>
      <c r="AD119" s="40"/>
      <c r="AE119" s="4"/>
      <c r="AF119" s="67"/>
      <c r="AG119" s="67"/>
    </row>
    <row r="120" spans="20:33" x14ac:dyDescent="0.4">
      <c r="T120" s="42"/>
      <c r="U120" s="46"/>
      <c r="V120" s="4"/>
      <c r="W120" s="40"/>
      <c r="X120" s="67"/>
      <c r="Y120" s="67"/>
      <c r="Z120" s="67"/>
    </row>
    <row r="121" spans="20:33" x14ac:dyDescent="0.4">
      <c r="T121" s="42"/>
      <c r="U121" s="46"/>
      <c r="V121" s="4"/>
      <c r="W121" s="40"/>
      <c r="X121" s="67"/>
      <c r="Y121" s="67"/>
      <c r="Z121" s="67"/>
    </row>
    <row r="122" spans="20:33" x14ac:dyDescent="0.4">
      <c r="T122" s="42"/>
      <c r="U122" s="46"/>
      <c r="V122" s="4"/>
      <c r="W122" s="40"/>
      <c r="X122" s="4"/>
      <c r="Y122" s="67"/>
      <c r="Z122" s="67"/>
    </row>
    <row r="123" spans="20:33" x14ac:dyDescent="0.4">
      <c r="T123" s="42"/>
      <c r="U123" s="46"/>
      <c r="V123" s="4"/>
      <c r="W123" s="40"/>
      <c r="X123" s="67"/>
      <c r="Y123" s="67"/>
      <c r="Z123" s="67"/>
    </row>
    <row r="124" spans="20:33" x14ac:dyDescent="0.4">
      <c r="T124" s="42"/>
      <c r="U124" s="46"/>
      <c r="V124" s="4"/>
      <c r="W124" s="40"/>
      <c r="X124" s="67"/>
      <c r="Y124" s="67"/>
      <c r="Z124" s="67"/>
    </row>
    <row r="125" spans="20:33" x14ac:dyDescent="0.4">
      <c r="T125" s="42"/>
      <c r="U125" s="46"/>
      <c r="V125" s="4"/>
      <c r="W125" s="40"/>
      <c r="X125" s="67"/>
      <c r="Y125" s="67"/>
      <c r="Z125" s="117"/>
    </row>
    <row r="126" spans="20:33" x14ac:dyDescent="0.4">
      <c r="T126" s="42"/>
      <c r="U126" s="46"/>
      <c r="V126" s="4"/>
      <c r="W126" s="40"/>
      <c r="X126" s="67"/>
      <c r="Y126" s="67"/>
      <c r="Z126" s="67"/>
    </row>
    <row r="127" spans="20:33" ht="18.75" customHeight="1" x14ac:dyDescent="0.4">
      <c r="T127" s="42"/>
      <c r="U127" s="46"/>
      <c r="V127" s="4"/>
      <c r="W127" s="40"/>
      <c r="X127" s="4"/>
      <c r="Y127" s="67"/>
      <c r="Z127" s="67"/>
    </row>
    <row r="128" spans="20:33" x14ac:dyDescent="0.4">
      <c r="T128" s="42"/>
      <c r="U128" s="46"/>
      <c r="V128" s="4"/>
      <c r="W128" s="40"/>
      <c r="X128" s="4"/>
      <c r="Y128" s="67"/>
      <c r="Z128" s="67"/>
    </row>
    <row r="129" spans="20:26" x14ac:dyDescent="0.4">
      <c r="T129" s="42"/>
      <c r="U129" s="46"/>
      <c r="V129" s="4"/>
      <c r="W129" s="40"/>
      <c r="X129" s="4"/>
      <c r="Y129" s="67"/>
      <c r="Z129" s="67"/>
    </row>
    <row r="130" spans="20:26" x14ac:dyDescent="0.4">
      <c r="T130" s="42"/>
      <c r="U130" s="46"/>
      <c r="V130" s="4"/>
      <c r="W130" s="40"/>
      <c r="X130" s="67"/>
      <c r="Y130" s="67"/>
      <c r="Z130" s="67"/>
    </row>
    <row r="131" spans="20:26" ht="18.75" customHeight="1" x14ac:dyDescent="0.4">
      <c r="T131" s="42"/>
      <c r="U131" s="46"/>
      <c r="V131" s="4"/>
      <c r="W131" s="72"/>
      <c r="X131" s="78"/>
      <c r="Y131" s="78"/>
      <c r="Z131" s="67"/>
    </row>
    <row r="132" spans="20:26" x14ac:dyDescent="0.4">
      <c r="T132" s="42"/>
      <c r="U132" s="46"/>
      <c r="V132" s="4"/>
      <c r="W132" s="29"/>
      <c r="X132" s="67"/>
      <c r="Y132" s="67"/>
      <c r="Z132" s="152"/>
    </row>
    <row r="133" spans="20:26" x14ac:dyDescent="0.4">
      <c r="T133" s="42"/>
      <c r="U133" s="46"/>
      <c r="V133" s="4"/>
      <c r="W133" s="29"/>
      <c r="X133" s="67"/>
      <c r="Y133" s="67"/>
      <c r="Z133" s="152"/>
    </row>
    <row r="134" spans="20:26" x14ac:dyDescent="0.4">
      <c r="T134" s="42"/>
      <c r="U134" s="46"/>
      <c r="V134" s="4"/>
      <c r="W134" s="73"/>
      <c r="X134" s="67"/>
      <c r="Y134" s="74"/>
      <c r="Z134" s="67"/>
    </row>
    <row r="135" spans="20:26" x14ac:dyDescent="0.4">
      <c r="T135" s="42"/>
      <c r="U135" s="46"/>
      <c r="V135" s="4"/>
      <c r="W135" s="40"/>
      <c r="X135" s="4"/>
      <c r="Y135" s="67"/>
      <c r="Z135" s="67"/>
    </row>
    <row r="136" spans="20:26" x14ac:dyDescent="0.4">
      <c r="T136" s="42"/>
      <c r="U136" s="46"/>
      <c r="V136" s="4"/>
      <c r="W136" s="40"/>
      <c r="X136" s="46"/>
      <c r="Y136" s="67"/>
      <c r="Z136" s="67"/>
    </row>
    <row r="137" spans="20:26" x14ac:dyDescent="0.4">
      <c r="T137" s="42"/>
      <c r="U137" s="46"/>
      <c r="V137" s="4"/>
      <c r="W137" s="40"/>
      <c r="X137" s="4"/>
      <c r="Y137" s="67"/>
      <c r="Z137" s="67"/>
    </row>
    <row r="138" spans="20:26" x14ac:dyDescent="0.4">
      <c r="T138" s="42"/>
      <c r="U138" s="46"/>
      <c r="V138" s="4"/>
      <c r="W138" s="40"/>
      <c r="X138" s="46"/>
      <c r="Y138" s="67"/>
      <c r="Z138" s="67"/>
    </row>
    <row r="139" spans="20:26" x14ac:dyDescent="0.4">
      <c r="T139" s="42"/>
      <c r="U139" s="46"/>
      <c r="V139" s="4"/>
      <c r="W139" s="40"/>
      <c r="X139" s="46"/>
      <c r="Y139" s="67"/>
      <c r="Z139" s="67"/>
    </row>
    <row r="140" spans="20:26" x14ac:dyDescent="0.4">
      <c r="T140" s="42"/>
      <c r="U140" s="46"/>
      <c r="V140" s="4"/>
      <c r="W140" s="40"/>
      <c r="X140" s="46"/>
      <c r="Y140" s="67"/>
      <c r="Z140" s="67"/>
    </row>
    <row r="141" spans="20:26" x14ac:dyDescent="0.4">
      <c r="T141" s="42"/>
      <c r="U141" s="46"/>
      <c r="V141" s="4"/>
      <c r="W141" s="40"/>
      <c r="X141" s="67"/>
      <c r="Z141" s="67"/>
    </row>
    <row r="142" spans="20:26" x14ac:dyDescent="0.4">
      <c r="T142" s="42"/>
      <c r="U142" s="46"/>
      <c r="V142" s="4"/>
      <c r="W142" s="40"/>
      <c r="X142" s="67"/>
      <c r="Y142" s="67"/>
      <c r="Z142" s="67"/>
    </row>
    <row r="143" spans="20:26" x14ac:dyDescent="0.4">
      <c r="T143" s="42"/>
      <c r="U143" s="46"/>
      <c r="V143" s="4"/>
      <c r="W143" s="40"/>
      <c r="X143" s="67"/>
      <c r="Y143" s="67"/>
      <c r="Z143" s="67"/>
    </row>
    <row r="144" spans="20:26" x14ac:dyDescent="0.4">
      <c r="T144" s="42"/>
      <c r="U144" s="46"/>
      <c r="V144" s="4"/>
      <c r="W144" s="40"/>
      <c r="X144" s="67"/>
      <c r="Y144" s="67"/>
      <c r="Z144" s="67"/>
    </row>
    <row r="145" spans="20:26" x14ac:dyDescent="0.4">
      <c r="T145" s="42"/>
      <c r="U145" s="46"/>
      <c r="V145" s="4"/>
      <c r="W145" s="40"/>
      <c r="X145" s="67"/>
      <c r="Y145" s="67"/>
      <c r="Z145" s="67"/>
    </row>
    <row r="146" spans="20:26" x14ac:dyDescent="0.4">
      <c r="T146" s="42"/>
      <c r="U146" s="46"/>
      <c r="V146" s="4"/>
      <c r="W146" s="40"/>
      <c r="X146" s="67"/>
      <c r="Y146" s="67"/>
      <c r="Z146" s="67"/>
    </row>
    <row r="147" spans="20:26" x14ac:dyDescent="0.4">
      <c r="T147" s="42"/>
      <c r="U147" s="46"/>
      <c r="V147" s="4"/>
      <c r="W147" s="40"/>
      <c r="X147" s="67"/>
      <c r="Y147" s="67"/>
      <c r="Z147" s="67"/>
    </row>
    <row r="148" spans="20:26" x14ac:dyDescent="0.4">
      <c r="T148" s="42"/>
      <c r="U148" s="46"/>
      <c r="V148" s="4"/>
      <c r="W148" s="40"/>
      <c r="X148" s="67"/>
      <c r="Y148" s="67"/>
      <c r="Z148" s="67"/>
    </row>
    <row r="149" spans="20:26" x14ac:dyDescent="0.4">
      <c r="T149" s="42"/>
      <c r="U149" s="46"/>
      <c r="V149" s="4"/>
      <c r="W149" s="40"/>
      <c r="X149" s="67"/>
      <c r="Y149" s="67"/>
      <c r="Z149" s="67"/>
    </row>
    <row r="150" spans="20:26" x14ac:dyDescent="0.4">
      <c r="T150" s="42"/>
      <c r="U150" s="46"/>
      <c r="V150" s="4"/>
      <c r="W150" s="40"/>
      <c r="X150" s="67"/>
      <c r="Y150" s="67"/>
      <c r="Z150" s="67"/>
    </row>
    <row r="151" spans="20:26" x14ac:dyDescent="0.4">
      <c r="T151" s="42"/>
      <c r="U151" s="46"/>
      <c r="V151" s="4"/>
      <c r="W151" s="40"/>
      <c r="X151" s="67"/>
      <c r="Y151" s="67"/>
      <c r="Z151" s="67"/>
    </row>
    <row r="152" spans="20:26" x14ac:dyDescent="0.4">
      <c r="T152" s="42"/>
      <c r="U152" s="46"/>
      <c r="V152" s="4"/>
      <c r="W152" s="40"/>
      <c r="X152" s="67"/>
      <c r="Y152" s="67"/>
      <c r="Z152" s="67"/>
    </row>
    <row r="153" spans="20:26" x14ac:dyDescent="0.4">
      <c r="T153" s="42"/>
      <c r="U153" s="46"/>
      <c r="V153" s="4"/>
      <c r="W153" s="40"/>
      <c r="X153" s="67"/>
      <c r="Y153" s="67"/>
      <c r="Z153" s="67"/>
    </row>
    <row r="154" spans="20:26" x14ac:dyDescent="0.4">
      <c r="T154" s="42"/>
      <c r="U154" s="46"/>
      <c r="V154" s="4"/>
      <c r="W154" s="40"/>
      <c r="X154" s="67"/>
      <c r="Y154" s="67"/>
      <c r="Z154" s="67"/>
    </row>
    <row r="155" spans="20:26" x14ac:dyDescent="0.4">
      <c r="T155" s="42"/>
      <c r="U155" s="46"/>
      <c r="V155" s="4"/>
      <c r="W155" s="40"/>
      <c r="X155" s="67"/>
      <c r="Y155" s="67"/>
      <c r="Z155" s="67"/>
    </row>
    <row r="156" spans="20:26" x14ac:dyDescent="0.4">
      <c r="T156" s="42"/>
      <c r="U156" s="46"/>
      <c r="V156" s="4"/>
      <c r="W156" s="40"/>
      <c r="X156" s="67"/>
      <c r="Y156" s="67"/>
      <c r="Z156" s="67"/>
    </row>
    <row r="157" spans="20:26" x14ac:dyDescent="0.4">
      <c r="T157" s="42"/>
      <c r="U157" s="46"/>
      <c r="V157" s="4"/>
      <c r="W157" s="40"/>
      <c r="X157" s="67"/>
      <c r="Y157" s="67"/>
      <c r="Z157" s="67"/>
    </row>
    <row r="158" spans="20:26" x14ac:dyDescent="0.4">
      <c r="T158" s="42"/>
      <c r="U158" s="46"/>
      <c r="V158" s="4"/>
      <c r="W158" s="40"/>
      <c r="X158" s="67"/>
      <c r="Y158" s="67"/>
      <c r="Z158" s="67"/>
    </row>
    <row r="159" spans="20:26" x14ac:dyDescent="0.4">
      <c r="T159" s="42"/>
      <c r="U159" s="46"/>
      <c r="V159" s="4"/>
      <c r="W159" s="40"/>
      <c r="X159" s="67"/>
      <c r="Y159" s="67"/>
      <c r="Z159" s="67"/>
    </row>
    <row r="160" spans="20:26" x14ac:dyDescent="0.4">
      <c r="T160" s="42"/>
      <c r="U160" s="46"/>
      <c r="V160" s="4"/>
      <c r="W160" s="40"/>
      <c r="X160" s="67"/>
      <c r="Y160" s="67"/>
      <c r="Z160" s="67"/>
    </row>
    <row r="161" spans="20:26" x14ac:dyDescent="0.4">
      <c r="T161" s="42"/>
      <c r="U161" s="46"/>
      <c r="V161" s="4"/>
      <c r="W161" s="40"/>
      <c r="X161" s="67"/>
      <c r="Y161" s="67"/>
      <c r="Z161" s="67"/>
    </row>
    <row r="162" spans="20:26" x14ac:dyDescent="0.4">
      <c r="T162" s="42"/>
      <c r="U162" s="46"/>
      <c r="V162" s="4"/>
      <c r="W162" s="40"/>
      <c r="X162" s="67"/>
      <c r="Y162" s="67"/>
      <c r="Z162" s="67"/>
    </row>
    <row r="163" spans="20:26" x14ac:dyDescent="0.4">
      <c r="T163" s="42"/>
      <c r="U163" s="46"/>
      <c r="V163" s="4"/>
      <c r="W163" s="40"/>
      <c r="X163" s="67"/>
      <c r="Y163" s="67"/>
      <c r="Z163" s="67"/>
    </row>
    <row r="164" spans="20:26" x14ac:dyDescent="0.4">
      <c r="T164" s="42"/>
      <c r="U164" s="46"/>
      <c r="V164" s="4"/>
      <c r="W164" s="40"/>
      <c r="X164" s="67"/>
      <c r="Y164" s="67"/>
      <c r="Z164" s="67"/>
    </row>
    <row r="165" spans="20:26" x14ac:dyDescent="0.4">
      <c r="T165" s="42"/>
      <c r="U165" s="46"/>
      <c r="V165" s="4"/>
      <c r="W165" s="40"/>
      <c r="X165" s="67"/>
      <c r="Y165" s="67"/>
      <c r="Z165" s="42"/>
    </row>
    <row r="166" spans="20:26" x14ac:dyDescent="0.4">
      <c r="T166" s="42"/>
      <c r="U166" s="46"/>
      <c r="V166" s="4"/>
      <c r="W166" s="40"/>
      <c r="X166" s="67"/>
      <c r="Y166" s="67"/>
      <c r="Z166" s="67"/>
    </row>
    <row r="167" spans="20:26" x14ac:dyDescent="0.4">
      <c r="T167" s="42"/>
      <c r="U167" s="46"/>
      <c r="V167" s="4"/>
      <c r="W167" s="40"/>
      <c r="X167" s="67"/>
      <c r="Y167" s="67"/>
      <c r="Z167" s="67"/>
    </row>
    <row r="168" spans="20:26" x14ac:dyDescent="0.4">
      <c r="T168" s="42"/>
      <c r="U168" s="46"/>
      <c r="V168" s="4"/>
      <c r="W168" s="40"/>
      <c r="X168" s="67"/>
      <c r="Y168" s="67"/>
      <c r="Z168" s="67"/>
    </row>
    <row r="169" spans="20:26" x14ac:dyDescent="0.4">
      <c r="T169" s="42"/>
      <c r="U169" s="46"/>
      <c r="V169" s="4"/>
      <c r="W169" s="40"/>
      <c r="X169" s="67"/>
      <c r="Y169" s="67"/>
      <c r="Z169" s="42"/>
    </row>
    <row r="170" spans="20:26" x14ac:dyDescent="0.4">
      <c r="T170" s="42"/>
      <c r="U170" s="46"/>
      <c r="V170" s="4"/>
      <c r="W170" s="40"/>
      <c r="X170" s="67"/>
      <c r="Y170" s="67"/>
      <c r="Z170" s="67"/>
    </row>
    <row r="171" spans="20:26" x14ac:dyDescent="0.4">
      <c r="T171" s="42"/>
      <c r="U171" s="46"/>
      <c r="V171" s="4"/>
      <c r="W171" s="40"/>
      <c r="X171" s="67"/>
      <c r="Y171" s="67"/>
      <c r="Z171" s="67"/>
    </row>
    <row r="172" spans="20:26" x14ac:dyDescent="0.4">
      <c r="T172" s="42"/>
      <c r="U172" s="46"/>
      <c r="V172" s="4"/>
      <c r="W172" s="40"/>
      <c r="X172" s="67"/>
      <c r="Y172" s="67"/>
      <c r="Z172" s="67"/>
    </row>
    <row r="173" spans="20:26" ht="19.5" customHeight="1" x14ac:dyDescent="0.4">
      <c r="T173" s="42"/>
      <c r="U173" s="46"/>
      <c r="V173" s="4"/>
      <c r="W173" s="40"/>
      <c r="X173" s="67"/>
      <c r="Y173" s="67"/>
      <c r="Z173" s="67"/>
    </row>
    <row r="174" spans="20:26" x14ac:dyDescent="0.4">
      <c r="T174" s="42"/>
      <c r="U174" s="46"/>
      <c r="V174" s="4"/>
      <c r="W174" s="40"/>
      <c r="X174" s="67"/>
      <c r="Y174" s="67"/>
      <c r="Z174" s="67"/>
    </row>
    <row r="175" spans="20:26" x14ac:dyDescent="0.4">
      <c r="T175" s="42"/>
      <c r="U175" s="46"/>
      <c r="V175" s="4"/>
      <c r="W175" s="40"/>
      <c r="X175" s="67"/>
      <c r="Y175" s="67"/>
      <c r="Z175" s="67"/>
    </row>
    <row r="176" spans="20:26" x14ac:dyDescent="0.4">
      <c r="T176" s="42"/>
      <c r="U176" s="46"/>
      <c r="V176" s="4"/>
      <c r="W176" s="40"/>
      <c r="X176" s="67"/>
      <c r="Y176" s="67"/>
      <c r="Z176" s="42"/>
    </row>
    <row r="177" spans="20:26" x14ac:dyDescent="0.4">
      <c r="T177" s="42"/>
      <c r="U177" s="46"/>
      <c r="V177" s="4"/>
      <c r="W177" s="40"/>
      <c r="X177" s="67"/>
      <c r="Y177" s="67"/>
      <c r="Z177" s="67"/>
    </row>
    <row r="178" spans="20:26" x14ac:dyDescent="0.4">
      <c r="T178" s="42"/>
      <c r="U178" s="46"/>
      <c r="V178" s="4"/>
      <c r="W178" s="40"/>
      <c r="X178" s="67"/>
      <c r="Y178" s="67"/>
      <c r="Z178" s="67"/>
    </row>
    <row r="179" spans="20:26" x14ac:dyDescent="0.4">
      <c r="T179" s="42"/>
      <c r="U179" s="46"/>
      <c r="V179" s="4"/>
      <c r="W179" s="40"/>
      <c r="X179" s="67"/>
      <c r="Y179" s="67"/>
      <c r="Z179" s="67"/>
    </row>
    <row r="180" spans="20:26" x14ac:dyDescent="0.4">
      <c r="T180" s="42"/>
      <c r="U180" s="46"/>
      <c r="V180" s="4"/>
      <c r="W180" s="40"/>
      <c r="X180" s="67"/>
      <c r="Y180" s="67"/>
      <c r="Z180" s="67"/>
    </row>
    <row r="181" spans="20:26" x14ac:dyDescent="0.4">
      <c r="T181" s="42"/>
      <c r="U181" s="46"/>
      <c r="V181" s="4"/>
      <c r="W181" s="40"/>
      <c r="X181" s="67"/>
      <c r="Y181" s="67"/>
      <c r="Z181" s="42"/>
    </row>
    <row r="182" spans="20:26" x14ac:dyDescent="0.4">
      <c r="T182" s="42"/>
      <c r="U182" s="46"/>
      <c r="V182" s="4"/>
      <c r="W182" s="40"/>
      <c r="X182" s="67"/>
      <c r="Y182" s="67"/>
      <c r="Z182" s="67"/>
    </row>
    <row r="183" spans="20:26" x14ac:dyDescent="0.4">
      <c r="T183" s="42"/>
      <c r="U183" s="46"/>
      <c r="V183" s="4"/>
      <c r="W183" s="40"/>
      <c r="X183" s="67"/>
      <c r="Y183" s="67"/>
      <c r="Z183" s="67"/>
    </row>
    <row r="184" spans="20:26" x14ac:dyDescent="0.4">
      <c r="T184" s="42"/>
      <c r="U184" s="46"/>
      <c r="V184" s="4"/>
      <c r="W184" s="40"/>
      <c r="X184" s="67"/>
      <c r="Y184" s="67"/>
      <c r="Z184" s="67"/>
    </row>
    <row r="185" spans="20:26" x14ac:dyDescent="0.4">
      <c r="T185" s="42"/>
      <c r="U185" s="46"/>
      <c r="V185" s="4"/>
      <c r="W185" s="40"/>
      <c r="X185" s="67"/>
      <c r="Y185" s="67"/>
      <c r="Z185" s="67"/>
    </row>
    <row r="186" spans="20:26" x14ac:dyDescent="0.4">
      <c r="T186" s="42"/>
      <c r="U186" s="46"/>
      <c r="V186" s="4"/>
      <c r="W186" s="40"/>
      <c r="X186" s="67"/>
      <c r="Y186" s="67"/>
      <c r="Z186" s="67"/>
    </row>
    <row r="187" spans="20:26" x14ac:dyDescent="0.4">
      <c r="T187" s="42"/>
      <c r="U187" s="46"/>
      <c r="V187" s="4"/>
      <c r="W187" s="40"/>
      <c r="X187" s="67"/>
      <c r="Y187" s="67"/>
      <c r="Z187" s="67"/>
    </row>
    <row r="188" spans="20:26" x14ac:dyDescent="0.4">
      <c r="T188" s="42"/>
      <c r="U188" s="46"/>
      <c r="V188" s="4"/>
      <c r="W188" s="40"/>
      <c r="X188" s="67"/>
      <c r="Y188" s="67"/>
      <c r="Z188" s="67"/>
    </row>
    <row r="189" spans="20:26" x14ac:dyDescent="0.4">
      <c r="T189" s="42"/>
      <c r="U189" s="46"/>
      <c r="V189" s="4"/>
      <c r="W189" s="40"/>
      <c r="X189" s="67"/>
      <c r="Y189" s="67"/>
      <c r="Z189" s="67"/>
    </row>
    <row r="190" spans="20:26" x14ac:dyDescent="0.4">
      <c r="T190" s="42"/>
      <c r="U190" s="46"/>
      <c r="V190" s="4"/>
      <c r="W190" s="40"/>
      <c r="X190" s="67"/>
      <c r="Y190" s="67"/>
      <c r="Z190" s="42"/>
    </row>
    <row r="191" spans="20:26" x14ac:dyDescent="0.4">
      <c r="T191" s="42"/>
      <c r="U191" s="46"/>
      <c r="V191" s="4"/>
      <c r="W191" s="40"/>
      <c r="X191" s="67"/>
      <c r="Y191" s="67"/>
      <c r="Z191" s="67"/>
    </row>
    <row r="192" spans="20:26" x14ac:dyDescent="0.4">
      <c r="T192" s="42"/>
      <c r="U192" s="46"/>
      <c r="V192" s="4"/>
      <c r="W192" s="40"/>
      <c r="X192" s="67"/>
      <c r="Y192" s="67"/>
      <c r="Z192" s="67"/>
    </row>
    <row r="193" spans="20:26" x14ac:dyDescent="0.4">
      <c r="T193" s="42"/>
      <c r="U193" s="46"/>
      <c r="V193" s="4"/>
      <c r="W193" s="40"/>
      <c r="X193" s="67"/>
      <c r="Y193" s="67"/>
      <c r="Z193" s="67"/>
    </row>
    <row r="194" spans="20:26" x14ac:dyDescent="0.4">
      <c r="T194" s="42"/>
      <c r="U194" s="46"/>
      <c r="V194" s="4"/>
      <c r="W194" s="40"/>
      <c r="X194" s="67"/>
      <c r="Y194" s="67"/>
      <c r="Z194" s="67"/>
    </row>
    <row r="195" spans="20:26" x14ac:dyDescent="0.4">
      <c r="T195" s="42"/>
      <c r="U195" s="46"/>
      <c r="V195" s="4"/>
      <c r="W195" s="40"/>
      <c r="X195" s="67"/>
      <c r="Y195" s="67"/>
      <c r="Z195" s="67"/>
    </row>
    <row r="196" spans="20:26" x14ac:dyDescent="0.4">
      <c r="T196" s="42"/>
      <c r="U196" s="46"/>
      <c r="V196" s="4"/>
      <c r="W196" s="40"/>
      <c r="X196" s="67"/>
      <c r="Y196" s="67"/>
      <c r="Z196" s="67"/>
    </row>
    <row r="197" spans="20:26" x14ac:dyDescent="0.4">
      <c r="T197" s="42"/>
      <c r="U197" s="46" t="str">
        <f t="shared" ref="U197:U204" si="81">IF(ISBLANK(T197),"",MONTH(T197)&amp;"月")</f>
        <v/>
      </c>
      <c r="V197" s="4"/>
      <c r="W197" s="40"/>
      <c r="X197" s="67"/>
      <c r="Y197" s="67"/>
      <c r="Z197" s="67"/>
    </row>
    <row r="198" spans="20:26" x14ac:dyDescent="0.4">
      <c r="T198" s="42"/>
      <c r="U198" s="46" t="str">
        <f t="shared" si="81"/>
        <v/>
      </c>
      <c r="V198" s="4"/>
      <c r="W198" s="40"/>
      <c r="X198" s="67"/>
      <c r="Y198" s="67"/>
      <c r="Z198" s="67"/>
    </row>
    <row r="199" spans="20:26" x14ac:dyDescent="0.4">
      <c r="T199" s="42"/>
      <c r="U199" s="46" t="str">
        <f t="shared" si="81"/>
        <v/>
      </c>
      <c r="V199" s="4"/>
      <c r="W199" s="40"/>
      <c r="X199" s="67"/>
      <c r="Y199" s="67"/>
      <c r="Z199" s="42"/>
    </row>
    <row r="200" spans="20:26" x14ac:dyDescent="0.4">
      <c r="T200" s="42"/>
      <c r="U200" s="46" t="str">
        <f t="shared" si="81"/>
        <v/>
      </c>
      <c r="V200" s="4"/>
      <c r="W200" s="40"/>
      <c r="X200" s="67"/>
      <c r="Y200" s="67"/>
      <c r="Z200" s="67"/>
    </row>
    <row r="201" spans="20:26" x14ac:dyDescent="0.4">
      <c r="T201" s="42"/>
      <c r="U201" s="46" t="str">
        <f t="shared" si="81"/>
        <v/>
      </c>
      <c r="V201" s="4"/>
      <c r="W201" s="40"/>
      <c r="X201" s="67"/>
      <c r="Y201" s="67"/>
      <c r="Z201" s="67"/>
    </row>
    <row r="202" spans="20:26" x14ac:dyDescent="0.4">
      <c r="T202" s="42"/>
      <c r="U202" s="46" t="str">
        <f t="shared" si="81"/>
        <v/>
      </c>
      <c r="V202" s="4"/>
      <c r="W202" s="40"/>
      <c r="X202" s="67"/>
      <c r="Y202" s="67"/>
      <c r="Z202" s="67"/>
    </row>
    <row r="203" spans="20:26" x14ac:dyDescent="0.4">
      <c r="T203" s="42"/>
      <c r="U203" s="46" t="str">
        <f t="shared" si="81"/>
        <v/>
      </c>
      <c r="V203" s="4"/>
      <c r="W203" s="40"/>
      <c r="X203" s="67"/>
      <c r="Y203" s="67"/>
      <c r="Z203" s="67"/>
    </row>
    <row r="204" spans="20:26" x14ac:dyDescent="0.4">
      <c r="T204" s="42"/>
      <c r="U204" s="46" t="str">
        <f t="shared" si="81"/>
        <v/>
      </c>
      <c r="V204" s="4"/>
      <c r="W204" s="40"/>
      <c r="X204" s="67"/>
      <c r="Y204" s="67"/>
      <c r="Z204" s="67"/>
    </row>
    <row r="205" spans="20:26" x14ac:dyDescent="0.4">
      <c r="T205" s="42"/>
      <c r="U205" s="46" t="str">
        <f t="shared" ref="U205:U213" si="82">IF(ISBLANK(T205),"",MONTH(T205)&amp;"月")</f>
        <v/>
      </c>
      <c r="V205" s="4"/>
      <c r="W205" s="40"/>
      <c r="X205" s="67"/>
      <c r="Y205" s="67"/>
      <c r="Z205" s="67"/>
    </row>
    <row r="206" spans="20:26" x14ac:dyDescent="0.4">
      <c r="T206" s="42"/>
      <c r="U206" s="46" t="str">
        <f t="shared" si="82"/>
        <v/>
      </c>
      <c r="V206" s="4"/>
      <c r="W206" s="40"/>
      <c r="X206" s="67"/>
      <c r="Y206" s="67"/>
      <c r="Z206" s="67"/>
    </row>
    <row r="207" spans="20:26" x14ac:dyDescent="0.4">
      <c r="T207" s="42"/>
      <c r="U207" s="46" t="str">
        <f t="shared" si="82"/>
        <v/>
      </c>
      <c r="V207" s="4"/>
      <c r="W207" s="40"/>
      <c r="X207" s="67"/>
      <c r="Y207" s="67"/>
      <c r="Z207" s="67"/>
    </row>
    <row r="208" spans="20:26" x14ac:dyDescent="0.4">
      <c r="T208" s="42"/>
      <c r="U208" s="46" t="str">
        <f t="shared" si="82"/>
        <v/>
      </c>
      <c r="V208" s="4"/>
      <c r="W208" s="40"/>
      <c r="X208" s="67"/>
      <c r="Y208" s="67"/>
      <c r="Z208" s="42"/>
    </row>
    <row r="209" spans="20:26" x14ac:dyDescent="0.4">
      <c r="T209" s="42"/>
      <c r="U209" s="46" t="str">
        <f t="shared" si="82"/>
        <v/>
      </c>
      <c r="V209" s="4"/>
      <c r="W209" s="40"/>
      <c r="X209" s="67"/>
      <c r="Y209" s="67"/>
      <c r="Z209" s="67"/>
    </row>
    <row r="210" spans="20:26" x14ac:dyDescent="0.4">
      <c r="T210" s="42"/>
      <c r="U210" s="46" t="str">
        <f t="shared" si="82"/>
        <v/>
      </c>
      <c r="V210" s="4"/>
      <c r="W210" s="40"/>
      <c r="X210" s="67"/>
      <c r="Y210" s="67"/>
      <c r="Z210" s="67"/>
    </row>
    <row r="211" spans="20:26" x14ac:dyDescent="0.4">
      <c r="T211" s="42"/>
      <c r="U211" s="46" t="str">
        <f t="shared" si="82"/>
        <v/>
      </c>
      <c r="V211" s="4"/>
      <c r="W211" s="40"/>
      <c r="X211" s="67"/>
      <c r="Y211" s="67"/>
      <c r="Z211" s="67"/>
    </row>
    <row r="212" spans="20:26" x14ac:dyDescent="0.4">
      <c r="T212" s="42"/>
      <c r="U212" s="46" t="str">
        <f t="shared" si="82"/>
        <v/>
      </c>
      <c r="V212" s="4"/>
      <c r="W212" s="40"/>
      <c r="X212" s="67"/>
      <c r="Y212" s="67"/>
      <c r="Z212" s="67"/>
    </row>
    <row r="213" spans="20:26" x14ac:dyDescent="0.4">
      <c r="T213" s="42"/>
      <c r="U213" s="46" t="str">
        <f t="shared" si="82"/>
        <v/>
      </c>
      <c r="V213" s="4"/>
      <c r="W213" s="40"/>
      <c r="X213" s="67"/>
      <c r="Y213" s="67"/>
      <c r="Z213" s="42"/>
    </row>
  </sheetData>
  <autoFilter ref="T2:Z213" xr:uid="{00000000-0001-0000-0200-000000000000}"/>
  <mergeCells count="22">
    <mergeCell ref="A75:C75"/>
    <mergeCell ref="A83:A91"/>
    <mergeCell ref="A14:A22"/>
    <mergeCell ref="A31:A38"/>
    <mergeCell ref="A39:A47"/>
    <mergeCell ref="A26:A30"/>
    <mergeCell ref="A25:B25"/>
    <mergeCell ref="A62:A65"/>
    <mergeCell ref="A58:A60"/>
    <mergeCell ref="A48:A57"/>
    <mergeCell ref="A78:A82"/>
    <mergeCell ref="A70:C70"/>
    <mergeCell ref="A69:B69"/>
    <mergeCell ref="A74:C74"/>
    <mergeCell ref="A73:C73"/>
    <mergeCell ref="A72:C72"/>
    <mergeCell ref="A71:C71"/>
    <mergeCell ref="A2:B2"/>
    <mergeCell ref="A6:A13"/>
    <mergeCell ref="A3:B3"/>
    <mergeCell ref="A4:B4"/>
    <mergeCell ref="A5:B5"/>
  </mergeCells>
  <phoneticPr fontId="1"/>
  <conditionalFormatting sqref="R3:R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{E8A29031-D294-4EDB-ADD4-59D329420757}</x14:id>
        </ext>
      </extLst>
    </cfRule>
  </conditionalFormatting>
  <conditionalFormatting sqref="R6:R23">
    <cfRule type="dataBar" priority="14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{C8C003B3-874D-4A3F-9A62-3BEEC3B70ED8}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8A29031-D294-4EDB-ADD4-59D3294207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R3:R5</xm:sqref>
        </x14:conditionalFormatting>
        <x14:conditionalFormatting xmlns:xm="http://schemas.microsoft.com/office/excel/2006/main">
          <x14:cfRule type="dataBar" id="{C8C003B3-874D-4A3F-9A62-3BEEC3B70E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R6:R23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AS42"/>
  <sheetViews>
    <sheetView tabSelected="1" zoomScaleNormal="100" workbookViewId="0">
      <pane xSplit="6" ySplit="1" topLeftCell="G2" activePane="bottomRight" state="frozen"/>
      <selection activeCell="N16" sqref="N16"/>
      <selection pane="topRight" activeCell="N16" sqref="N16"/>
      <selection pane="bottomLeft" activeCell="N16" sqref="N16"/>
      <selection pane="bottomRight" activeCell="K28" sqref="K28"/>
    </sheetView>
  </sheetViews>
  <sheetFormatPr defaultRowHeight="18.75" x14ac:dyDescent="0.4"/>
  <cols>
    <col min="1" max="1" width="3.625" bestFit="1" customWidth="1"/>
    <col min="2" max="2" width="24.125" bestFit="1" customWidth="1"/>
    <col min="3" max="3" width="9.625" style="25" bestFit="1" customWidth="1"/>
    <col min="4" max="9" width="9.625" style="25" customWidth="1"/>
    <col min="10" max="10" width="9" style="25"/>
    <col min="11" max="11" width="9.625" style="25" customWidth="1"/>
    <col min="13" max="13" width="9.375" style="25" bestFit="1" customWidth="1"/>
    <col min="14" max="14" width="9.625" style="25" customWidth="1"/>
    <col min="16" max="16" width="9.375" style="25" customWidth="1"/>
    <col min="17" max="17" width="9.625" style="25" customWidth="1"/>
    <col min="18" max="18" width="9" customWidth="1"/>
    <col min="19" max="19" width="9.375" style="25" customWidth="1"/>
    <col min="20" max="20" width="9.625" style="25" customWidth="1"/>
    <col min="21" max="21" width="9" customWidth="1"/>
    <col min="22" max="22" width="9.375" style="25" customWidth="1"/>
    <col min="23" max="23" width="9.625" style="25" customWidth="1"/>
    <col min="24" max="24" width="9" customWidth="1"/>
    <col min="25" max="25" width="9.375" style="25" customWidth="1"/>
    <col min="26" max="26" width="9.625" style="25" customWidth="1"/>
    <col min="27" max="27" width="9" customWidth="1"/>
    <col min="28" max="28" width="9.375" style="25" customWidth="1"/>
    <col min="29" max="29" width="9.625" style="25" customWidth="1"/>
    <col min="30" max="30" width="9" customWidth="1"/>
    <col min="31" max="31" width="9.375" style="25" customWidth="1"/>
    <col min="32" max="32" width="9.625" style="25" customWidth="1"/>
    <col min="33" max="33" width="9" customWidth="1"/>
    <col min="34" max="34" width="9.375" style="25" customWidth="1"/>
    <col min="35" max="35" width="9.625" style="25" customWidth="1"/>
    <col min="36" max="36" width="9" customWidth="1"/>
    <col min="37" max="37" width="9.375" style="25" customWidth="1"/>
    <col min="38" max="38" width="9.625" style="25" customWidth="1"/>
    <col min="39" max="39" width="9" customWidth="1"/>
    <col min="40" max="40" width="9.375" style="25" customWidth="1"/>
    <col min="41" max="41" width="9.625" style="25" customWidth="1"/>
    <col min="42" max="42" width="9" customWidth="1"/>
    <col min="43" max="43" width="9.375" style="25" customWidth="1"/>
    <col min="44" max="44" width="9.625" style="25" customWidth="1"/>
    <col min="45" max="45" width="9" customWidth="1"/>
  </cols>
  <sheetData>
    <row r="1" spans="1:45" x14ac:dyDescent="0.4">
      <c r="A1" s="260" t="s">
        <v>137</v>
      </c>
      <c r="B1" s="260"/>
      <c r="C1" s="260"/>
      <c r="D1" s="261" t="s">
        <v>104</v>
      </c>
      <c r="E1" s="262"/>
      <c r="F1" s="263"/>
      <c r="G1" s="261" t="s">
        <v>99</v>
      </c>
      <c r="H1" s="262"/>
      <c r="I1" s="263"/>
      <c r="J1" s="252" t="s">
        <v>76</v>
      </c>
      <c r="K1" s="253"/>
      <c r="L1" s="254"/>
      <c r="M1" s="252" t="s">
        <v>89</v>
      </c>
      <c r="N1" s="253"/>
      <c r="O1" s="254"/>
      <c r="P1" s="252" t="s">
        <v>93</v>
      </c>
      <c r="Q1" s="253"/>
      <c r="R1" s="254"/>
      <c r="S1" s="252" t="s">
        <v>102</v>
      </c>
      <c r="T1" s="253"/>
      <c r="U1" s="254"/>
      <c r="V1" s="252" t="s">
        <v>164</v>
      </c>
      <c r="W1" s="253"/>
      <c r="X1" s="254"/>
      <c r="Y1" s="252" t="s">
        <v>162</v>
      </c>
      <c r="Z1" s="253"/>
      <c r="AA1" s="254"/>
      <c r="AB1" s="252" t="s">
        <v>169</v>
      </c>
      <c r="AC1" s="253"/>
      <c r="AD1" s="254"/>
      <c r="AE1" s="252" t="s">
        <v>159</v>
      </c>
      <c r="AF1" s="253"/>
      <c r="AG1" s="254"/>
      <c r="AH1" s="252" t="s">
        <v>163</v>
      </c>
      <c r="AI1" s="253"/>
      <c r="AJ1" s="254"/>
      <c r="AK1" s="252" t="s">
        <v>174</v>
      </c>
      <c r="AL1" s="253"/>
      <c r="AM1" s="254"/>
      <c r="AN1" s="252" t="s">
        <v>161</v>
      </c>
      <c r="AO1" s="253"/>
      <c r="AP1" s="254"/>
      <c r="AQ1" s="252" t="s">
        <v>160</v>
      </c>
      <c r="AR1" s="253"/>
      <c r="AS1" s="254"/>
    </row>
    <row r="2" spans="1:45" x14ac:dyDescent="0.4">
      <c r="A2" s="264"/>
      <c r="B2" s="265"/>
      <c r="C2" s="61" t="s">
        <v>61</v>
      </c>
      <c r="D2" s="23" t="s">
        <v>105</v>
      </c>
      <c r="E2" s="23" t="s">
        <v>60</v>
      </c>
      <c r="F2" s="6" t="s">
        <v>70</v>
      </c>
      <c r="G2" s="23" t="s">
        <v>62</v>
      </c>
      <c r="H2" s="23" t="s">
        <v>60</v>
      </c>
      <c r="I2" s="6" t="s">
        <v>70</v>
      </c>
      <c r="J2" s="23" t="s">
        <v>62</v>
      </c>
      <c r="K2" s="23" t="s">
        <v>60</v>
      </c>
      <c r="L2" s="6" t="s">
        <v>70</v>
      </c>
      <c r="M2" s="23" t="s">
        <v>62</v>
      </c>
      <c r="N2" s="23" t="s">
        <v>60</v>
      </c>
      <c r="O2" s="6" t="s">
        <v>70</v>
      </c>
      <c r="P2" s="23" t="s">
        <v>62</v>
      </c>
      <c r="Q2" s="23" t="s">
        <v>60</v>
      </c>
      <c r="R2" s="6" t="s">
        <v>70</v>
      </c>
      <c r="S2" s="23" t="s">
        <v>62</v>
      </c>
      <c r="T2" s="23" t="s">
        <v>60</v>
      </c>
      <c r="U2" s="6" t="s">
        <v>70</v>
      </c>
      <c r="V2" s="23" t="s">
        <v>62</v>
      </c>
      <c r="W2" s="23" t="s">
        <v>60</v>
      </c>
      <c r="X2" s="6" t="s">
        <v>70</v>
      </c>
      <c r="Y2" s="23" t="s">
        <v>62</v>
      </c>
      <c r="Z2" s="23" t="s">
        <v>60</v>
      </c>
      <c r="AA2" s="6" t="s">
        <v>70</v>
      </c>
      <c r="AB2" s="23" t="s">
        <v>62</v>
      </c>
      <c r="AC2" s="23" t="s">
        <v>60</v>
      </c>
      <c r="AD2" s="6" t="s">
        <v>70</v>
      </c>
      <c r="AE2" s="23" t="s">
        <v>62</v>
      </c>
      <c r="AF2" s="23" t="s">
        <v>60</v>
      </c>
      <c r="AG2" s="6" t="s">
        <v>70</v>
      </c>
      <c r="AH2" s="23" t="s">
        <v>62</v>
      </c>
      <c r="AI2" s="23" t="s">
        <v>60</v>
      </c>
      <c r="AJ2" s="6" t="s">
        <v>70</v>
      </c>
      <c r="AK2" s="23" t="s">
        <v>62</v>
      </c>
      <c r="AL2" s="23" t="s">
        <v>60</v>
      </c>
      <c r="AM2" s="6" t="s">
        <v>70</v>
      </c>
      <c r="AN2" s="23" t="s">
        <v>62</v>
      </c>
      <c r="AO2" s="23" t="s">
        <v>60</v>
      </c>
      <c r="AP2" s="6" t="s">
        <v>70</v>
      </c>
      <c r="AQ2" s="23" t="s">
        <v>62</v>
      </c>
      <c r="AR2" s="23" t="s">
        <v>60</v>
      </c>
      <c r="AS2" s="6" t="s">
        <v>70</v>
      </c>
    </row>
    <row r="3" spans="1:45" s="3" customFormat="1" ht="18" customHeight="1" x14ac:dyDescent="0.4">
      <c r="A3" s="257" t="s">
        <v>30</v>
      </c>
      <c r="B3" s="62" t="s">
        <v>49</v>
      </c>
      <c r="C3" s="63">
        <v>460000</v>
      </c>
      <c r="D3" s="24">
        <f>AVERAGE(J3,M3,P3,S3,V3,Y3,AB3)</f>
        <v>602234.28571428568</v>
      </c>
      <c r="E3" s="24">
        <f>D3-C3</f>
        <v>142234.28571428568</v>
      </c>
      <c r="F3" s="22">
        <f t="shared" ref="F3:F21" si="0">IF(ISERR(D3/C3),0,D3/C3)</f>
        <v>1.3092049689440992</v>
      </c>
      <c r="G3" s="24">
        <f>SUM(J3,M3,P3,S3,V3,Y3,AB3)</f>
        <v>4215640</v>
      </c>
      <c r="H3" s="41"/>
      <c r="I3" s="43"/>
      <c r="J3" s="24">
        <v>791729</v>
      </c>
      <c r="K3" s="24">
        <f>J3-C3</f>
        <v>331729</v>
      </c>
      <c r="L3" s="22">
        <f t="shared" ref="L3:L4" si="1">IF(ISERR(J3/$C3),0,J3/$C3)</f>
        <v>1.72115</v>
      </c>
      <c r="M3" s="24">
        <v>587715</v>
      </c>
      <c r="N3" s="24">
        <f>M3-$C3</f>
        <v>127715</v>
      </c>
      <c r="O3" s="22">
        <f t="shared" ref="O3:O4" si="2">IF(ISERR(M3/$C3),0,M3/$C3)</f>
        <v>1.2776413043478261</v>
      </c>
      <c r="P3" s="24">
        <v>593105</v>
      </c>
      <c r="Q3" s="24">
        <f>P3-$C3</f>
        <v>133105</v>
      </c>
      <c r="R3" s="22">
        <f t="shared" ref="R3:R4" si="3">IF(ISERR(P3/$C3),0,P3/$C3)</f>
        <v>1.2893586956521739</v>
      </c>
      <c r="S3" s="24">
        <v>573705</v>
      </c>
      <c r="T3" s="24">
        <f>S3-$C3</f>
        <v>113705</v>
      </c>
      <c r="U3" s="22">
        <f t="shared" ref="U3:U4" si="4">IF(ISERR(S3/$C3),0,S3/$C3)</f>
        <v>1.2471847826086957</v>
      </c>
      <c r="V3" s="24">
        <v>720719</v>
      </c>
      <c r="W3" s="24">
        <f>V3-$C3</f>
        <v>260719</v>
      </c>
      <c r="X3" s="22">
        <f t="shared" ref="X3:X4" si="5">IF(ISERR(V3/$C3),0,V3/$C3)</f>
        <v>1.5667804347826086</v>
      </c>
      <c r="Y3" s="24">
        <v>469763</v>
      </c>
      <c r="Z3" s="24">
        <f>Y3-$C3</f>
        <v>9763</v>
      </c>
      <c r="AA3" s="22">
        <f t="shared" ref="AA3:AA4" si="6">IF(ISERR(Y3/$C3),0,Y3/$C3)</f>
        <v>1.0212239130434784</v>
      </c>
      <c r="AB3" s="24">
        <v>478904</v>
      </c>
      <c r="AC3" s="24">
        <f>AB3-$C3</f>
        <v>18904</v>
      </c>
      <c r="AD3" s="22">
        <f t="shared" ref="AD3:AD4" si="7">IF(ISERR(AB3/$C3),0,AB3/$C3)</f>
        <v>1.041095652173913</v>
      </c>
      <c r="AE3" s="24">
        <v>512931</v>
      </c>
      <c r="AF3" s="24">
        <f>AE3-$C3</f>
        <v>52931</v>
      </c>
      <c r="AG3" s="22">
        <f t="shared" ref="AG3:AG4" si="8">IF(ISERR(AE3/$C3),0,AE3/$C3)</f>
        <v>1.1150673913043478</v>
      </c>
      <c r="AH3" s="24"/>
      <c r="AI3" s="24">
        <f>AH3-$C3</f>
        <v>-460000</v>
      </c>
      <c r="AJ3" s="22">
        <f t="shared" ref="AJ3:AJ4" si="9">IF(ISERR(AH3/$C3),0,AH3/$C3)</f>
        <v>0</v>
      </c>
      <c r="AK3" s="24"/>
      <c r="AL3" s="24">
        <f>AK3-$C3</f>
        <v>-460000</v>
      </c>
      <c r="AM3" s="22">
        <f t="shared" ref="AM3:AM4" si="10">IF(ISERR(AK3/$C3),0,AK3/$C3)</f>
        <v>0</v>
      </c>
      <c r="AN3" s="24"/>
      <c r="AO3" s="24">
        <f>AN3-$C3</f>
        <v>-460000</v>
      </c>
      <c r="AP3" s="22">
        <f t="shared" ref="AP3:AP4" si="11">IF(ISERR(AN3/$C3),0,AN3/$C3)</f>
        <v>0</v>
      </c>
      <c r="AQ3" s="24"/>
      <c r="AR3" s="24">
        <f>AQ3-$C3</f>
        <v>-460000</v>
      </c>
      <c r="AS3" s="22">
        <f t="shared" ref="AS3:AS4" si="12">IF(ISERR(AQ3/$C3),0,AQ3/$C3)</f>
        <v>0</v>
      </c>
    </row>
    <row r="4" spans="1:45" s="3" customFormat="1" x14ac:dyDescent="0.4">
      <c r="A4" s="258"/>
      <c r="B4" s="62" t="s">
        <v>148</v>
      </c>
      <c r="C4" s="63">
        <v>0</v>
      </c>
      <c r="D4" s="24">
        <f t="shared" ref="D4:D22" si="13">AVERAGE(J4,M4,P4,S4,V4,Y4,AB4)</f>
        <v>22857.142857142859</v>
      </c>
      <c r="E4" s="24">
        <f t="shared" ref="E4:E5" si="14">D4-C4</f>
        <v>22857.142857142859</v>
      </c>
      <c r="F4" s="22">
        <f t="shared" si="0"/>
        <v>0</v>
      </c>
      <c r="G4" s="24">
        <f t="shared" ref="G4:G22" si="15">SUM(J4,M4,P4,S4,V4,Y4,AB4)</f>
        <v>160000</v>
      </c>
      <c r="H4" s="41"/>
      <c r="I4" s="43"/>
      <c r="J4" s="24">
        <v>40000</v>
      </c>
      <c r="K4" s="24">
        <f>J4-C4</f>
        <v>40000</v>
      </c>
      <c r="L4" s="22">
        <f t="shared" si="1"/>
        <v>0</v>
      </c>
      <c r="M4" s="24">
        <v>0</v>
      </c>
      <c r="N4" s="24">
        <f t="shared" ref="N4:N5" si="16">M4-$C4</f>
        <v>0</v>
      </c>
      <c r="O4" s="22">
        <f t="shared" si="2"/>
        <v>0</v>
      </c>
      <c r="P4" s="24">
        <v>0</v>
      </c>
      <c r="Q4" s="24">
        <f t="shared" ref="Q4:Q5" si="17">P4-$C4</f>
        <v>0</v>
      </c>
      <c r="R4" s="22">
        <f t="shared" si="3"/>
        <v>0</v>
      </c>
      <c r="S4" s="24">
        <v>0</v>
      </c>
      <c r="T4" s="24">
        <f t="shared" ref="T4:T5" si="18">S4-$C4</f>
        <v>0</v>
      </c>
      <c r="U4" s="22">
        <f t="shared" si="4"/>
        <v>0</v>
      </c>
      <c r="V4" s="24">
        <v>40000</v>
      </c>
      <c r="W4" s="24">
        <f t="shared" ref="W4:W5" si="19">V4-$C4</f>
        <v>40000</v>
      </c>
      <c r="X4" s="22">
        <f t="shared" si="5"/>
        <v>0</v>
      </c>
      <c r="Y4" s="24">
        <v>40000</v>
      </c>
      <c r="Z4" s="24">
        <f t="shared" ref="Z4:Z5" si="20">Y4-$C4</f>
        <v>40000</v>
      </c>
      <c r="AA4" s="22">
        <f t="shared" si="6"/>
        <v>0</v>
      </c>
      <c r="AB4" s="24">
        <v>40000</v>
      </c>
      <c r="AC4" s="24">
        <f t="shared" ref="AC4:AC5" si="21">AB4-$C4</f>
        <v>40000</v>
      </c>
      <c r="AD4" s="22">
        <f t="shared" si="7"/>
        <v>0</v>
      </c>
      <c r="AE4" s="24">
        <v>40000</v>
      </c>
      <c r="AF4" s="24">
        <f t="shared" ref="AF4:AF5" si="22">AE4-$C4</f>
        <v>40000</v>
      </c>
      <c r="AG4" s="22">
        <f t="shared" si="8"/>
        <v>0</v>
      </c>
      <c r="AH4" s="24">
        <v>40000</v>
      </c>
      <c r="AI4" s="24">
        <f t="shared" ref="AI4:AI5" si="23">AH4-$C4</f>
        <v>40000</v>
      </c>
      <c r="AJ4" s="22">
        <f t="shared" si="9"/>
        <v>0</v>
      </c>
      <c r="AK4" s="24">
        <v>40000</v>
      </c>
      <c r="AL4" s="24">
        <f t="shared" ref="AL4:AL5" si="24">AK4-$C4</f>
        <v>40000</v>
      </c>
      <c r="AM4" s="22">
        <f t="shared" si="10"/>
        <v>0</v>
      </c>
      <c r="AN4" s="24">
        <v>40000</v>
      </c>
      <c r="AO4" s="24">
        <f t="shared" ref="AO4:AO5" si="25">AN4-$C4</f>
        <v>40000</v>
      </c>
      <c r="AP4" s="22">
        <f t="shared" si="11"/>
        <v>0</v>
      </c>
      <c r="AQ4" s="24">
        <v>40000</v>
      </c>
      <c r="AR4" s="24">
        <f t="shared" ref="AR4:AR5" si="26">AQ4-$C4</f>
        <v>40000</v>
      </c>
      <c r="AS4" s="22">
        <f t="shared" si="12"/>
        <v>0</v>
      </c>
    </row>
    <row r="5" spans="1:45" s="3" customFormat="1" x14ac:dyDescent="0.4">
      <c r="A5" s="259"/>
      <c r="B5" s="64" t="s">
        <v>65</v>
      </c>
      <c r="C5" s="63">
        <f>SUM(C3:C4)</f>
        <v>460000</v>
      </c>
      <c r="D5" s="24">
        <f t="shared" si="13"/>
        <v>625091.42857142852</v>
      </c>
      <c r="E5" s="24">
        <f t="shared" si="14"/>
        <v>165091.42857142852</v>
      </c>
      <c r="F5" s="22">
        <f t="shared" si="0"/>
        <v>1.3588944099378881</v>
      </c>
      <c r="G5" s="24">
        <f t="shared" si="15"/>
        <v>4375640</v>
      </c>
      <c r="H5" s="41"/>
      <c r="I5" s="43"/>
      <c r="J5" s="24">
        <f>SUM(J3:J4)</f>
        <v>831729</v>
      </c>
      <c r="K5" s="24">
        <f>SUM(K3:K4)</f>
        <v>371729</v>
      </c>
      <c r="L5" s="22">
        <f>IF(ISERR(J5/$C5),0,J5/$C5)</f>
        <v>1.8081065217391303</v>
      </c>
      <c r="M5" s="24">
        <f>SUM(M3:M4)</f>
        <v>587715</v>
      </c>
      <c r="N5" s="24">
        <f t="shared" si="16"/>
        <v>127715</v>
      </c>
      <c r="O5" s="22">
        <f>IF(ISERR(M5/$C5),0,M5/$C5)</f>
        <v>1.2776413043478261</v>
      </c>
      <c r="P5" s="24">
        <f>SUM(P3:P4)</f>
        <v>593105</v>
      </c>
      <c r="Q5" s="24">
        <f t="shared" si="17"/>
        <v>133105</v>
      </c>
      <c r="R5" s="22">
        <f>IF(ISERR(P5/$C5),0,P5/$C5)</f>
        <v>1.2893586956521739</v>
      </c>
      <c r="S5" s="24">
        <f>SUM(S3:S4)</f>
        <v>573705</v>
      </c>
      <c r="T5" s="24">
        <f t="shared" si="18"/>
        <v>113705</v>
      </c>
      <c r="U5" s="22">
        <f>IF(ISERR(S5/$C5),0,S5/$C5)</f>
        <v>1.2471847826086957</v>
      </c>
      <c r="V5" s="24">
        <f>SUM(V3:V4)</f>
        <v>760719</v>
      </c>
      <c r="W5" s="24">
        <f t="shared" si="19"/>
        <v>300719</v>
      </c>
      <c r="X5" s="22">
        <f>IF(ISERR(V5/$C5),0,V5/$C5)</f>
        <v>1.653736956521739</v>
      </c>
      <c r="Y5" s="24">
        <f>SUM(Y3:Y4)</f>
        <v>509763</v>
      </c>
      <c r="Z5" s="24">
        <f t="shared" si="20"/>
        <v>49763</v>
      </c>
      <c r="AA5" s="22">
        <f>IF(ISERR(Y5/$C5),0,Y5/$C5)</f>
        <v>1.1081804347826087</v>
      </c>
      <c r="AB5" s="24">
        <f>SUM(AB3:AB4)</f>
        <v>518904</v>
      </c>
      <c r="AC5" s="24">
        <f t="shared" si="21"/>
        <v>58904</v>
      </c>
      <c r="AD5" s="22">
        <f>IF(ISERR(AB5/$C5),0,AB5/$C5)</f>
        <v>1.1280521739130436</v>
      </c>
      <c r="AE5" s="24">
        <f>SUM(AE3:AE4)</f>
        <v>552931</v>
      </c>
      <c r="AF5" s="24">
        <f t="shared" si="22"/>
        <v>92931</v>
      </c>
      <c r="AG5" s="22">
        <f>IF(ISERR(AE5/$C5),0,AE5/$C5)</f>
        <v>1.2020239130434782</v>
      </c>
      <c r="AH5" s="24">
        <f>SUM(AH3:AH4)</f>
        <v>40000</v>
      </c>
      <c r="AI5" s="24">
        <f t="shared" si="23"/>
        <v>-420000</v>
      </c>
      <c r="AJ5" s="22">
        <f>IF(ISERR(AH5/$C5),0,AH5/$C5)</f>
        <v>8.6956521739130432E-2</v>
      </c>
      <c r="AK5" s="24">
        <f>SUM(AK3:AK4)</f>
        <v>40000</v>
      </c>
      <c r="AL5" s="24">
        <f t="shared" si="24"/>
        <v>-420000</v>
      </c>
      <c r="AM5" s="22">
        <f>IF(ISERR(AK5/$C5),0,AK5/$C5)</f>
        <v>8.6956521739130432E-2</v>
      </c>
      <c r="AN5" s="24">
        <f>SUM(AN3:AN4)</f>
        <v>40000</v>
      </c>
      <c r="AO5" s="24">
        <f t="shared" si="25"/>
        <v>-420000</v>
      </c>
      <c r="AP5" s="22">
        <f>IF(ISERR(AN5/$C5),0,AN5/$C5)</f>
        <v>8.6956521739130432E-2</v>
      </c>
      <c r="AQ5" s="24">
        <f>SUM(AQ3:AQ4)</f>
        <v>40000</v>
      </c>
      <c r="AR5" s="24">
        <f t="shared" si="26"/>
        <v>-420000</v>
      </c>
      <c r="AS5" s="22">
        <f>IF(ISERR(AQ5/$C5),0,AQ5/$C5)</f>
        <v>8.6956521739130432E-2</v>
      </c>
    </row>
    <row r="6" spans="1:45" ht="18" customHeight="1" x14ac:dyDescent="0.4">
      <c r="A6" s="238" t="s">
        <v>23</v>
      </c>
      <c r="B6" s="65" t="s">
        <v>58</v>
      </c>
      <c r="C6" s="63">
        <v>15000</v>
      </c>
      <c r="D6" s="24">
        <f t="shared" si="13"/>
        <v>14691.857142857143</v>
      </c>
      <c r="E6" s="24">
        <f>C6-D6</f>
        <v>308.14285714285688</v>
      </c>
      <c r="F6" s="22">
        <f t="shared" si="0"/>
        <v>0.97945714285714292</v>
      </c>
      <c r="G6" s="24">
        <f t="shared" si="15"/>
        <v>102843</v>
      </c>
      <c r="H6" s="41"/>
      <c r="I6" s="43"/>
      <c r="J6" s="24">
        <f>SUMIF(消費01!$D$3:$D$259,'2025年予実'!$B6,消費01!$C$3:$C$259)</f>
        <v>14387</v>
      </c>
      <c r="K6" s="24">
        <f t="shared" ref="K6:K21" si="27">C6-J6</f>
        <v>613</v>
      </c>
      <c r="L6" s="22">
        <f>IF(ISERR(J6/$C6),0,J6/$C6)</f>
        <v>0.95913333333333328</v>
      </c>
      <c r="M6" s="24">
        <f>SUMIF(消費02!$D$3:$D$287,'2025年予実'!$B6,消費02!$C$3:$C$287)</f>
        <v>10405</v>
      </c>
      <c r="N6" s="24">
        <f>$C6-M6</f>
        <v>4595</v>
      </c>
      <c r="O6" s="22">
        <f>IF(ISERR(M6/$C6),0,M6/$C6)</f>
        <v>0.69366666666666665</v>
      </c>
      <c r="P6" s="24">
        <f>SUMIF(消費03!$D$3:$D$308,'2025年予実'!$B6,消費03!$C$3:$C$308)</f>
        <v>26967</v>
      </c>
      <c r="Q6" s="24">
        <f>$C6-P6</f>
        <v>-11967</v>
      </c>
      <c r="R6" s="22">
        <f>IF(ISERR(P6/$C6),0,P6/$C6)</f>
        <v>1.7978000000000001</v>
      </c>
      <c r="S6" s="24">
        <f>SUMIF(消費04!$D$3:$D$316,'2025年予実'!$B6,消費04!$C$3:$C$316)</f>
        <v>10097</v>
      </c>
      <c r="T6" s="24">
        <f>$C6-S6</f>
        <v>4903</v>
      </c>
      <c r="U6" s="22">
        <f>IF(ISERR(S6/$C6),0,S6/$C6)</f>
        <v>0.67313333333333336</v>
      </c>
      <c r="V6" s="24">
        <f>SUMIF(消費05!$D$3:$D$339,'2025年予実'!$B6,消費05!$C$3:$C$339)</f>
        <v>18877</v>
      </c>
      <c r="W6" s="24">
        <f>$C6-V6</f>
        <v>-3877</v>
      </c>
      <c r="X6" s="22">
        <f>IF(ISERR(V6/$C6),0,V6/$C6)</f>
        <v>1.2584666666666666</v>
      </c>
      <c r="Y6" s="24">
        <f>SUMIF(消費06!$D$3:$D$303,'2025年予実'!$B6,消費06!$C$3:$C$303)</f>
        <v>10577</v>
      </c>
      <c r="Z6" s="24">
        <f>$C6-Y6</f>
        <v>4423</v>
      </c>
      <c r="AA6" s="22">
        <f>IF(ISERR(Y6/$C6),0,Y6/$C6)</f>
        <v>0.70513333333333328</v>
      </c>
      <c r="AB6" s="24">
        <f>SUMIF(消費07!$D$3:$D$303,'2025年予実'!$B6,消費07!$C$3:$C$303)</f>
        <v>11533</v>
      </c>
      <c r="AC6" s="24">
        <f>$C6-AB6</f>
        <v>3467</v>
      </c>
      <c r="AD6" s="22">
        <f>IF(ISERR(AB6/$C6),0,AB6/$C6)</f>
        <v>0.7688666666666667</v>
      </c>
      <c r="AE6" s="24">
        <f>SUMIF(消費08!$D$3:$D$327,'2025年予実'!$B6,消費08!$C$3:$C$327)</f>
        <v>8255</v>
      </c>
      <c r="AF6" s="24">
        <f>$C6-AE6</f>
        <v>6745</v>
      </c>
      <c r="AG6" s="22">
        <f>IF(ISERR(AE6/$C6),0,AE6/$C6)</f>
        <v>0.55033333333333334</v>
      </c>
      <c r="AH6" s="24">
        <f>SUMIF(消費09!$D$3:$D$317,'2025年予実'!$B6,消費09!$C$3:$C$317)</f>
        <v>5295</v>
      </c>
      <c r="AI6" s="24">
        <f>$C6-AH6</f>
        <v>9705</v>
      </c>
      <c r="AJ6" s="22">
        <f>IF(ISERR(AH6/$C6),0,AH6/$C6)</f>
        <v>0.35299999999999998</v>
      </c>
      <c r="AK6" s="24">
        <f>SUMIF(消費10!$D$3:$D$332,'2025年予実'!$B6,消費10!$C$3:$C$332)</f>
        <v>5295</v>
      </c>
      <c r="AL6" s="24">
        <f>$C6-AK6</f>
        <v>9705</v>
      </c>
      <c r="AM6" s="22">
        <f>IF(ISERR(AK6/$C6),0,AK6/$C6)</f>
        <v>0.35299999999999998</v>
      </c>
      <c r="AN6" s="24">
        <f>SUMIF(消費11!$D$3:$D$327,'2025年予実'!$B6,消費11!$C$3:$C$327)</f>
        <v>4277</v>
      </c>
      <c r="AO6" s="24">
        <f>$C6-AN6</f>
        <v>10723</v>
      </c>
      <c r="AP6" s="22">
        <f>IF(ISERR(AN6/$C6),0,AN6/$C6)</f>
        <v>0.28513333333333335</v>
      </c>
      <c r="AQ6" s="24">
        <f>SUMIF(消費12!$D$3:$D$320,'2025年予実'!$B6,消費12!$C$3:$C$320)</f>
        <v>4277</v>
      </c>
      <c r="AR6" s="24">
        <f>$C6-AQ6</f>
        <v>10723</v>
      </c>
      <c r="AS6" s="22">
        <f>IF(ISERR(AQ6/$C6),0,AQ6/$C6)</f>
        <v>0.28513333333333335</v>
      </c>
    </row>
    <row r="7" spans="1:45" x14ac:dyDescent="0.4">
      <c r="A7" s="238"/>
      <c r="B7" s="65" t="s">
        <v>91</v>
      </c>
      <c r="C7" s="63">
        <v>25000</v>
      </c>
      <c r="D7" s="24">
        <f t="shared" si="13"/>
        <v>17817.857142857141</v>
      </c>
      <c r="E7" s="24">
        <f t="shared" ref="E7:E21" si="28">C7-D7</f>
        <v>7182.1428571428587</v>
      </c>
      <c r="F7" s="22">
        <f t="shared" si="0"/>
        <v>0.71271428571428563</v>
      </c>
      <c r="G7" s="24">
        <f t="shared" si="15"/>
        <v>124725</v>
      </c>
      <c r="H7" s="41"/>
      <c r="I7" s="43"/>
      <c r="J7" s="24">
        <f>SUMIF(消費01!$D$3:$D$259,'2025年予実'!$B7,消費01!$C$3:$C$259)</f>
        <v>13619</v>
      </c>
      <c r="K7" s="24">
        <f t="shared" si="27"/>
        <v>11381</v>
      </c>
      <c r="L7" s="22">
        <f t="shared" ref="L7:L21" si="29">IF(ISERR(J7/$C7),0,J7/$C7)</f>
        <v>0.54476000000000002</v>
      </c>
      <c r="M7" s="24">
        <f>SUMIF(消費02!$D$3:$D$287,'2025年予実'!$B7,消費02!$C$3:$C$287)</f>
        <v>23202</v>
      </c>
      <c r="N7" s="24">
        <f t="shared" ref="N7:N21" si="30">$C7-M7</f>
        <v>1798</v>
      </c>
      <c r="O7" s="22">
        <f t="shared" ref="O7:O21" si="31">IF(ISERR(M7/$C7),0,M7/$C7)</f>
        <v>0.92808000000000002</v>
      </c>
      <c r="P7" s="24">
        <f>SUMIF(消費03!$D$3:$D$308,'2025年予実'!$B7,消費03!$C$3:$C$308)</f>
        <v>24311</v>
      </c>
      <c r="Q7" s="24">
        <f t="shared" ref="Q7:Q21" si="32">$C7-P7</f>
        <v>689</v>
      </c>
      <c r="R7" s="22">
        <f t="shared" ref="R7:R21" si="33">IF(ISERR(P7/$C7),0,P7/$C7)</f>
        <v>0.97243999999999997</v>
      </c>
      <c r="S7" s="24">
        <f>SUMIF(消費04!$D$3:$D$316,'2025年予実'!$B7,消費04!$C$3:$C$316)</f>
        <v>29084</v>
      </c>
      <c r="T7" s="24">
        <f t="shared" ref="T7:T21" si="34">$C7-S7</f>
        <v>-4084</v>
      </c>
      <c r="U7" s="22">
        <f t="shared" ref="U7:U21" si="35">IF(ISERR(S7/$C7),0,S7/$C7)</f>
        <v>1.1633599999999999</v>
      </c>
      <c r="V7" s="24">
        <f>SUMIF(消費05!$D$3:$D$339,'2025年予実'!$B7,消費05!$C$3:$C$339)</f>
        <v>14505</v>
      </c>
      <c r="W7" s="24">
        <f t="shared" ref="W7:W21" si="36">$C7-V7</f>
        <v>10495</v>
      </c>
      <c r="X7" s="22">
        <f t="shared" ref="X7:X21" si="37">IF(ISERR(V7/$C7),0,V7/$C7)</f>
        <v>0.58020000000000005</v>
      </c>
      <c r="Y7" s="24">
        <f>SUMIF(消費06!$D$3:$D$303,'2025年予実'!$B7,消費06!$C$3:$C$303)</f>
        <v>20004</v>
      </c>
      <c r="Z7" s="24">
        <f t="shared" ref="Z7:Z21" si="38">$C7-Y7</f>
        <v>4996</v>
      </c>
      <c r="AA7" s="22">
        <f t="shared" ref="AA7:AA21" si="39">IF(ISERR(Y7/$C7),0,Y7/$C7)</f>
        <v>0.80015999999999998</v>
      </c>
      <c r="AB7" s="24">
        <f>SUMIF(消費07!$D$3:$D$303,'2025年予実'!$B7,消費07!$C$3:$C$303)</f>
        <v>0</v>
      </c>
      <c r="AC7" s="24">
        <f t="shared" ref="AC7:AC21" si="40">$C7-AB7</f>
        <v>25000</v>
      </c>
      <c r="AD7" s="22">
        <f t="shared" ref="AD7:AD21" si="41">IF(ISERR(AB7/$C7),0,AB7/$C7)</f>
        <v>0</v>
      </c>
      <c r="AE7" s="24">
        <f>SUMIF(消費08!$D$3:$D$327,'2025年予実'!$B7,消費08!$C$3:$C$327)</f>
        <v>0</v>
      </c>
      <c r="AF7" s="24">
        <f t="shared" ref="AF7:AF21" si="42">$C7-AE7</f>
        <v>25000</v>
      </c>
      <c r="AG7" s="22">
        <f t="shared" ref="AG7:AG21" si="43">IF(ISERR(AE7/$C7),0,AE7/$C7)</f>
        <v>0</v>
      </c>
      <c r="AH7" s="24">
        <f>SUMIF(消費09!$D$3:$D$317,'2025年予実'!$B7,消費09!$C$3:$C$317)</f>
        <v>0</v>
      </c>
      <c r="AI7" s="24">
        <f t="shared" ref="AI7:AI21" si="44">$C7-AH7</f>
        <v>25000</v>
      </c>
      <c r="AJ7" s="22">
        <f t="shared" ref="AJ7:AJ21" si="45">IF(ISERR(AH7/$C7),0,AH7/$C7)</f>
        <v>0</v>
      </c>
      <c r="AK7" s="24">
        <f>SUMIF(消費10!$D$3:$D$332,'2025年予実'!$B7,消費10!$C$3:$C$332)</f>
        <v>0</v>
      </c>
      <c r="AL7" s="24">
        <f t="shared" ref="AL7:AL19" si="46">$C7-AK7</f>
        <v>25000</v>
      </c>
      <c r="AM7" s="22">
        <f t="shared" ref="AM7:AM21" si="47">IF(ISERR(AK7/$C7),0,AK7/$C7)</f>
        <v>0</v>
      </c>
      <c r="AN7" s="24">
        <f>SUMIF(消費11!$D$3:$D$327,'2025年予実'!$B7,消費11!$C$3:$C$327)</f>
        <v>0</v>
      </c>
      <c r="AO7" s="24">
        <f t="shared" ref="AO7:AO19" si="48">$C7-AN7</f>
        <v>25000</v>
      </c>
      <c r="AP7" s="22">
        <f t="shared" ref="AP7:AP21" si="49">IF(ISERR(AN7/$C7),0,AN7/$C7)</f>
        <v>0</v>
      </c>
      <c r="AQ7" s="24">
        <f>SUMIF(消費12!$D$3:$D$320,'2025年予実'!$B7,消費12!$C$3:$C$320)</f>
        <v>0</v>
      </c>
      <c r="AR7" s="24">
        <f t="shared" ref="AR7:AR19" si="50">$C7-AQ7</f>
        <v>25000</v>
      </c>
      <c r="AS7" s="22">
        <f t="shared" ref="AS7:AS21" si="51">IF(ISERR(AQ7/$C7),0,AQ7/$C7)</f>
        <v>0</v>
      </c>
    </row>
    <row r="8" spans="1:45" x14ac:dyDescent="0.4">
      <c r="A8" s="238"/>
      <c r="B8" s="65" t="s">
        <v>57</v>
      </c>
      <c r="C8" s="63">
        <v>7000</v>
      </c>
      <c r="D8" s="24">
        <f t="shared" si="13"/>
        <v>5851.1428571428569</v>
      </c>
      <c r="E8" s="24">
        <f t="shared" si="28"/>
        <v>1148.8571428571431</v>
      </c>
      <c r="F8" s="22">
        <f t="shared" si="0"/>
        <v>0.83587755102040817</v>
      </c>
      <c r="G8" s="24">
        <f t="shared" si="15"/>
        <v>40958</v>
      </c>
      <c r="H8" s="41"/>
      <c r="I8" s="43"/>
      <c r="J8" s="24">
        <f>SUMIF(消費01!$D$3:$D$259,'2025年予実'!$B8,消費01!$C$3:$C$259)</f>
        <v>3068</v>
      </c>
      <c r="K8" s="24">
        <f t="shared" si="27"/>
        <v>3932</v>
      </c>
      <c r="L8" s="22">
        <f t="shared" si="29"/>
        <v>0.43828571428571428</v>
      </c>
      <c r="M8" s="24">
        <f>SUMIF(消費02!$D$3:$D$287,'2025年予実'!$B8,消費02!$C$3:$C$287)</f>
        <v>10526</v>
      </c>
      <c r="N8" s="24">
        <f t="shared" si="30"/>
        <v>-3526</v>
      </c>
      <c r="O8" s="22">
        <f t="shared" si="31"/>
        <v>1.5037142857142858</v>
      </c>
      <c r="P8" s="24">
        <f>SUMIF(消費03!$D$3:$D$308,'2025年予実'!$B8,消費03!$C$3:$C$308)</f>
        <v>2645</v>
      </c>
      <c r="Q8" s="24">
        <f t="shared" si="32"/>
        <v>4355</v>
      </c>
      <c r="R8" s="22">
        <f t="shared" si="33"/>
        <v>0.37785714285714284</v>
      </c>
      <c r="S8" s="24">
        <f>SUMIF(消費04!$D$3:$D$316,'2025年予実'!$B8,消費04!$C$3:$C$316)</f>
        <v>3355</v>
      </c>
      <c r="T8" s="24">
        <f t="shared" si="34"/>
        <v>3645</v>
      </c>
      <c r="U8" s="22">
        <f t="shared" si="35"/>
        <v>0.47928571428571426</v>
      </c>
      <c r="V8" s="24">
        <f>SUMIF(消費05!$D$3:$D$339,'2025年予実'!$B8,消費05!$C$3:$C$339)</f>
        <v>10773</v>
      </c>
      <c r="W8" s="24">
        <f t="shared" si="36"/>
        <v>-3773</v>
      </c>
      <c r="X8" s="22">
        <f t="shared" si="37"/>
        <v>1.5389999999999999</v>
      </c>
      <c r="Y8" s="24">
        <f>SUMIF(消費06!$D$3:$D$303,'2025年予実'!$B8,消費06!$C$3:$C$303)</f>
        <v>770</v>
      </c>
      <c r="Z8" s="24">
        <f t="shared" si="38"/>
        <v>6230</v>
      </c>
      <c r="AA8" s="22">
        <f t="shared" si="39"/>
        <v>0.11</v>
      </c>
      <c r="AB8" s="24">
        <f>SUMIF(消費07!$D$3:$D$303,'2025年予実'!$B8,消費07!$C$3:$C$303)</f>
        <v>9821</v>
      </c>
      <c r="AC8" s="24">
        <f t="shared" si="40"/>
        <v>-2821</v>
      </c>
      <c r="AD8" s="22">
        <f t="shared" si="41"/>
        <v>1.403</v>
      </c>
      <c r="AE8" s="24">
        <f>SUMIF(消費08!$D$3:$D$327,'2025年予実'!$B8,消費08!$C$3:$C$327)</f>
        <v>2100</v>
      </c>
      <c r="AF8" s="24">
        <f t="shared" si="42"/>
        <v>4900</v>
      </c>
      <c r="AG8" s="22">
        <f t="shared" si="43"/>
        <v>0.3</v>
      </c>
      <c r="AH8" s="24">
        <f>SUMIF(消費09!$D$3:$D$317,'2025年予実'!$B8,消費09!$C$3:$C$317)</f>
        <v>0</v>
      </c>
      <c r="AI8" s="24">
        <f t="shared" si="44"/>
        <v>7000</v>
      </c>
      <c r="AJ8" s="22">
        <f t="shared" si="45"/>
        <v>0</v>
      </c>
      <c r="AK8" s="24">
        <f>SUMIF(消費10!$D$3:$D$332,'2025年予実'!$B8,消費10!$C$3:$C$332)</f>
        <v>0</v>
      </c>
      <c r="AL8" s="24">
        <f t="shared" si="46"/>
        <v>7000</v>
      </c>
      <c r="AM8" s="22">
        <f t="shared" si="47"/>
        <v>0</v>
      </c>
      <c r="AN8" s="24">
        <f>SUMIF(消費11!$D$3:$D$327,'2025年予実'!$B8,消費11!$C$3:$C$327)</f>
        <v>0</v>
      </c>
      <c r="AO8" s="24">
        <f t="shared" si="48"/>
        <v>7000</v>
      </c>
      <c r="AP8" s="22">
        <f t="shared" si="49"/>
        <v>0</v>
      </c>
      <c r="AQ8" s="24">
        <f>SUMIF(消費12!$D$3:$D$320,'2025年予実'!$B8,消費12!$C$3:$C$320)</f>
        <v>0</v>
      </c>
      <c r="AR8" s="24">
        <f t="shared" si="50"/>
        <v>7000</v>
      </c>
      <c r="AS8" s="22">
        <f t="shared" si="51"/>
        <v>0</v>
      </c>
    </row>
    <row r="9" spans="1:45" x14ac:dyDescent="0.4">
      <c r="A9" s="238"/>
      <c r="B9" s="65" t="s">
        <v>21</v>
      </c>
      <c r="C9" s="63">
        <v>10000</v>
      </c>
      <c r="D9" s="24">
        <f t="shared" si="13"/>
        <v>7858.1428571428569</v>
      </c>
      <c r="E9" s="24">
        <f t="shared" si="28"/>
        <v>2141.8571428571431</v>
      </c>
      <c r="F9" s="22">
        <f t="shared" si="0"/>
        <v>0.78581428571428569</v>
      </c>
      <c r="G9" s="24">
        <f t="shared" si="15"/>
        <v>55007</v>
      </c>
      <c r="H9" s="41"/>
      <c r="I9" s="43"/>
      <c r="J9" s="24">
        <f>SUMIF(消費01!$D$3:$D$259,'2025年予実'!$B9,消費01!$C$3:$C$259)</f>
        <v>8099</v>
      </c>
      <c r="K9" s="24">
        <f t="shared" si="27"/>
        <v>1901</v>
      </c>
      <c r="L9" s="22">
        <f t="shared" si="29"/>
        <v>0.80989999999999995</v>
      </c>
      <c r="M9" s="24">
        <f>SUMIF(消費02!$D$3:$D$287,'2025年予実'!$B9,消費02!$C$3:$C$287)</f>
        <v>7989</v>
      </c>
      <c r="N9" s="24">
        <f t="shared" si="30"/>
        <v>2011</v>
      </c>
      <c r="O9" s="22">
        <f t="shared" si="31"/>
        <v>0.79890000000000005</v>
      </c>
      <c r="P9" s="24">
        <f>SUMIF(消費03!$D$3:$D$308,'2025年予実'!$B9,消費03!$C$3:$C$308)</f>
        <v>9331</v>
      </c>
      <c r="Q9" s="24">
        <f t="shared" si="32"/>
        <v>669</v>
      </c>
      <c r="R9" s="22">
        <f t="shared" si="33"/>
        <v>0.93310000000000004</v>
      </c>
      <c r="S9" s="24">
        <f>SUMIF(消費04!$D$3:$D$316,'2025年予実'!$B9,消費04!$C$3:$C$316)</f>
        <v>3303</v>
      </c>
      <c r="T9" s="24">
        <f t="shared" si="34"/>
        <v>6697</v>
      </c>
      <c r="U9" s="22">
        <f t="shared" si="35"/>
        <v>0.33029999999999998</v>
      </c>
      <c r="V9" s="24">
        <f>SUMIF(消費05!$D$3:$D$339,'2025年予実'!$B9,消費05!$C$3:$C$339)</f>
        <v>6581</v>
      </c>
      <c r="W9" s="24">
        <f t="shared" si="36"/>
        <v>3419</v>
      </c>
      <c r="X9" s="22">
        <f t="shared" si="37"/>
        <v>0.65810000000000002</v>
      </c>
      <c r="Y9" s="24">
        <f>SUMIF(消費06!$D$3:$D$303,'2025年予実'!$B9,消費06!$C$3:$C$303)</f>
        <v>9852</v>
      </c>
      <c r="Z9" s="24">
        <f t="shared" si="38"/>
        <v>148</v>
      </c>
      <c r="AA9" s="22">
        <f t="shared" si="39"/>
        <v>0.98519999999999996</v>
      </c>
      <c r="AB9" s="24">
        <f>SUMIF(消費07!$D$3:$D$303,'2025年予実'!$B9,消費07!$C$3:$C$303)</f>
        <v>9852</v>
      </c>
      <c r="AC9" s="24">
        <f t="shared" si="40"/>
        <v>148</v>
      </c>
      <c r="AD9" s="22">
        <f t="shared" si="41"/>
        <v>0.98519999999999996</v>
      </c>
      <c r="AE9" s="24">
        <f>SUMIF(消費08!$D$3:$D$327,'2025年予実'!$B9,消費08!$C$3:$C$327)</f>
        <v>4708</v>
      </c>
      <c r="AF9" s="24">
        <f t="shared" si="42"/>
        <v>5292</v>
      </c>
      <c r="AG9" s="22">
        <f t="shared" si="43"/>
        <v>0.4708</v>
      </c>
      <c r="AH9" s="24">
        <f>SUMIF(消費09!$D$3:$D$317,'2025年予実'!$B9,消費09!$C$3:$C$317)</f>
        <v>4708</v>
      </c>
      <c r="AI9" s="24">
        <f t="shared" si="44"/>
        <v>5292</v>
      </c>
      <c r="AJ9" s="22">
        <f t="shared" si="45"/>
        <v>0.4708</v>
      </c>
      <c r="AK9" s="24">
        <f>SUMIF(消費10!$D$3:$D$332,'2025年予実'!$B9,消費10!$C$3:$C$332)</f>
        <v>4708</v>
      </c>
      <c r="AL9" s="24">
        <f t="shared" si="46"/>
        <v>5292</v>
      </c>
      <c r="AM9" s="22">
        <f t="shared" si="47"/>
        <v>0.4708</v>
      </c>
      <c r="AN9" s="24">
        <f>SUMIF(消費11!$D$3:$D$327,'2025年予実'!$B9,消費11!$C$3:$C$327)</f>
        <v>4708</v>
      </c>
      <c r="AO9" s="24">
        <f t="shared" si="48"/>
        <v>5292</v>
      </c>
      <c r="AP9" s="22">
        <f t="shared" si="49"/>
        <v>0.4708</v>
      </c>
      <c r="AQ9" s="24">
        <f>SUMIF(消費12!$D$3:$D$320,'2025年予実'!$B9,消費12!$C$3:$C$320)</f>
        <v>4708</v>
      </c>
      <c r="AR9" s="24">
        <f t="shared" si="50"/>
        <v>5292</v>
      </c>
      <c r="AS9" s="22">
        <f t="shared" si="51"/>
        <v>0.4708</v>
      </c>
    </row>
    <row r="10" spans="1:45" x14ac:dyDescent="0.4">
      <c r="A10" s="238"/>
      <c r="B10" s="65" t="s">
        <v>46</v>
      </c>
      <c r="C10" s="63">
        <v>60000</v>
      </c>
      <c r="D10" s="24">
        <f t="shared" si="13"/>
        <v>51915.857142857145</v>
      </c>
      <c r="E10" s="24">
        <f t="shared" si="28"/>
        <v>8084.1428571428551</v>
      </c>
      <c r="F10" s="22">
        <f t="shared" si="0"/>
        <v>0.86526428571428571</v>
      </c>
      <c r="G10" s="24">
        <f t="shared" si="15"/>
        <v>363411</v>
      </c>
      <c r="H10" s="41"/>
      <c r="I10" s="43"/>
      <c r="J10" s="24">
        <f>SUMIF(消費01!$D$3:$D$259,'2025年予実'!$B10,消費01!$C$3:$C$259)</f>
        <v>38646</v>
      </c>
      <c r="K10" s="24">
        <f t="shared" si="27"/>
        <v>21354</v>
      </c>
      <c r="L10" s="22">
        <f t="shared" si="29"/>
        <v>0.64410000000000001</v>
      </c>
      <c r="M10" s="24">
        <f>SUMIF(消費02!$D$3:$D$287,'2025年予実'!$B10,消費02!$C$3:$C$287)</f>
        <v>50185</v>
      </c>
      <c r="N10" s="24">
        <f t="shared" si="30"/>
        <v>9815</v>
      </c>
      <c r="O10" s="22">
        <f t="shared" si="31"/>
        <v>0.8364166666666667</v>
      </c>
      <c r="P10" s="24">
        <f>SUMIF(消費03!$D$3:$D$308,'2025年予実'!$B10,消費03!$C$3:$C$308)</f>
        <v>48476</v>
      </c>
      <c r="Q10" s="24">
        <f t="shared" si="32"/>
        <v>11524</v>
      </c>
      <c r="R10" s="22">
        <f t="shared" si="33"/>
        <v>0.80793333333333328</v>
      </c>
      <c r="S10" s="24">
        <f>SUMIF(消費04!$D$3:$D$316,'2025年予実'!$B10,消費04!$C$3:$C$316)</f>
        <v>54608</v>
      </c>
      <c r="T10" s="24">
        <f t="shared" si="34"/>
        <v>5392</v>
      </c>
      <c r="U10" s="22">
        <f t="shared" si="35"/>
        <v>0.91013333333333335</v>
      </c>
      <c r="V10" s="24">
        <f>SUMIF(消費05!$D$3:$D$339,'2025年予実'!$B10,消費05!$C$3:$C$339)</f>
        <v>58126</v>
      </c>
      <c r="W10" s="24">
        <f t="shared" si="36"/>
        <v>1874</v>
      </c>
      <c r="X10" s="22">
        <f t="shared" si="37"/>
        <v>0.96876666666666666</v>
      </c>
      <c r="Y10" s="24">
        <f>SUMIF(消費06!$D$3:$D$303,'2025年予実'!$B10,消費06!$C$3:$C$303)</f>
        <v>55593</v>
      </c>
      <c r="Z10" s="24">
        <f t="shared" si="38"/>
        <v>4407</v>
      </c>
      <c r="AA10" s="22">
        <f t="shared" si="39"/>
        <v>0.92654999999999998</v>
      </c>
      <c r="AB10" s="24">
        <f>SUMIF(消費07!$D$3:$D$303,'2025年予実'!$B10,消費07!$C$3:$C$303)</f>
        <v>57777</v>
      </c>
      <c r="AC10" s="24">
        <f t="shared" si="40"/>
        <v>2223</v>
      </c>
      <c r="AD10" s="22">
        <f t="shared" si="41"/>
        <v>0.96294999999999997</v>
      </c>
      <c r="AE10" s="24">
        <f>SUMIF(消費08!$D$3:$D$327,'2025年予実'!$B10,消費08!$C$3:$C$327)</f>
        <v>15127</v>
      </c>
      <c r="AF10" s="24">
        <f t="shared" si="42"/>
        <v>44873</v>
      </c>
      <c r="AG10" s="22">
        <f t="shared" si="43"/>
        <v>0.25211666666666666</v>
      </c>
      <c r="AH10" s="24">
        <f>SUMIF(消費09!$D$3:$D$317,'2025年予実'!$B10,消費09!$C$3:$C$317)</f>
        <v>0</v>
      </c>
      <c r="AI10" s="24">
        <f t="shared" si="44"/>
        <v>60000</v>
      </c>
      <c r="AJ10" s="22">
        <f t="shared" si="45"/>
        <v>0</v>
      </c>
      <c r="AK10" s="24">
        <f>SUMIF(消費10!$D$3:$D$332,'2025年予実'!$B10,消費10!$C$3:$C$332)</f>
        <v>0</v>
      </c>
      <c r="AL10" s="24">
        <f t="shared" si="46"/>
        <v>60000</v>
      </c>
      <c r="AM10" s="22">
        <f t="shared" si="47"/>
        <v>0</v>
      </c>
      <c r="AN10" s="24">
        <f>SUMIF(消費11!$D$3:$D$327,'2025年予実'!$B10,消費11!$C$3:$C$327)</f>
        <v>0</v>
      </c>
      <c r="AO10" s="24">
        <f t="shared" si="48"/>
        <v>60000</v>
      </c>
      <c r="AP10" s="22">
        <f t="shared" si="49"/>
        <v>0</v>
      </c>
      <c r="AQ10" s="24">
        <f>SUMIF(消費12!$D$3:$D$320,'2025年予実'!$B10,消費12!$C$3:$C$320)</f>
        <v>0</v>
      </c>
      <c r="AR10" s="24">
        <f t="shared" si="50"/>
        <v>60000</v>
      </c>
      <c r="AS10" s="22">
        <f t="shared" si="51"/>
        <v>0</v>
      </c>
    </row>
    <row r="11" spans="1:45" x14ac:dyDescent="0.4">
      <c r="A11" s="238"/>
      <c r="B11" s="65" t="s">
        <v>29</v>
      </c>
      <c r="C11" s="63">
        <v>24000</v>
      </c>
      <c r="D11" s="24">
        <f t="shared" si="13"/>
        <v>15582</v>
      </c>
      <c r="E11" s="24">
        <f t="shared" si="28"/>
        <v>8418</v>
      </c>
      <c r="F11" s="22">
        <f t="shared" si="0"/>
        <v>0.64924999999999999</v>
      </c>
      <c r="G11" s="24">
        <f t="shared" si="15"/>
        <v>109074</v>
      </c>
      <c r="H11" s="41"/>
      <c r="I11" s="43"/>
      <c r="J11" s="24">
        <f>SUMIF(消費01!$D$3:$D$259,'2025年予実'!$B11,消費01!$C$3:$C$259)</f>
        <v>50400</v>
      </c>
      <c r="K11" s="24">
        <f t="shared" si="27"/>
        <v>-26400</v>
      </c>
      <c r="L11" s="22">
        <f t="shared" si="29"/>
        <v>2.1</v>
      </c>
      <c r="M11" s="24">
        <f>SUMIF(消費02!$D$3:$D$287,'2025年予実'!$B11,消費02!$C$3:$C$287)</f>
        <v>8990</v>
      </c>
      <c r="N11" s="24">
        <f t="shared" si="30"/>
        <v>15010</v>
      </c>
      <c r="O11" s="22">
        <f t="shared" si="31"/>
        <v>0.37458333333333332</v>
      </c>
      <c r="P11" s="24">
        <f>SUMIF(消費03!$D$3:$D$308,'2025年予実'!$B11,消費03!$C$3:$C$308)</f>
        <v>6000</v>
      </c>
      <c r="Q11" s="24">
        <f t="shared" si="32"/>
        <v>18000</v>
      </c>
      <c r="R11" s="22">
        <f t="shared" si="33"/>
        <v>0.25</v>
      </c>
      <c r="S11" s="24">
        <f>SUMIF(消費04!$D$3:$D$316,'2025年予実'!$B11,消費04!$C$3:$C$316)</f>
        <v>21765</v>
      </c>
      <c r="T11" s="24">
        <f t="shared" si="34"/>
        <v>2235</v>
      </c>
      <c r="U11" s="22">
        <f t="shared" si="35"/>
        <v>0.90687499999999999</v>
      </c>
      <c r="V11" s="24">
        <f>SUMIF(消費05!$D$3:$D$339,'2025年予実'!$B11,消費05!$C$3:$C$339)</f>
        <v>17624</v>
      </c>
      <c r="W11" s="24">
        <f t="shared" si="36"/>
        <v>6376</v>
      </c>
      <c r="X11" s="22">
        <f t="shared" si="37"/>
        <v>0.73433333333333328</v>
      </c>
      <c r="Y11" s="24">
        <f>SUMIF(消費06!$D$3:$D$303,'2025年予実'!$B11,消費06!$C$3:$C$303)</f>
        <v>4295</v>
      </c>
      <c r="Z11" s="24">
        <f t="shared" si="38"/>
        <v>19705</v>
      </c>
      <c r="AA11" s="22">
        <f t="shared" si="39"/>
        <v>0.17895833333333333</v>
      </c>
      <c r="AB11" s="24">
        <f>SUMIF(消費07!$D$3:$D$303,'2025年予実'!$B11,消費07!$C$3:$C$303)</f>
        <v>0</v>
      </c>
      <c r="AC11" s="24">
        <f t="shared" si="40"/>
        <v>24000</v>
      </c>
      <c r="AD11" s="22">
        <f t="shared" si="41"/>
        <v>0</v>
      </c>
      <c r="AE11" s="24">
        <f>SUMIF(消費08!$D$3:$D$327,'2025年予実'!$B11,消費08!$C$3:$C$327)</f>
        <v>0</v>
      </c>
      <c r="AF11" s="24">
        <f t="shared" si="42"/>
        <v>24000</v>
      </c>
      <c r="AG11" s="22">
        <f t="shared" si="43"/>
        <v>0</v>
      </c>
      <c r="AH11" s="24">
        <f>SUMIF(消費09!$D$3:$D$317,'2025年予実'!$B11,消費09!$C$3:$C$317)</f>
        <v>0</v>
      </c>
      <c r="AI11" s="24">
        <f t="shared" si="44"/>
        <v>24000</v>
      </c>
      <c r="AJ11" s="22">
        <f t="shared" si="45"/>
        <v>0</v>
      </c>
      <c r="AK11" s="24">
        <f>SUMIF(消費10!$D$3:$D$332,'2025年予実'!$B11,消費10!$C$3:$C$332)</f>
        <v>0</v>
      </c>
      <c r="AL11" s="24">
        <f t="shared" si="46"/>
        <v>24000</v>
      </c>
      <c r="AM11" s="22">
        <f t="shared" si="47"/>
        <v>0</v>
      </c>
      <c r="AN11" s="24">
        <f>SUMIF(消費11!$D$3:$D$327,'2025年予実'!$B11,消費11!$C$3:$C$327)</f>
        <v>0</v>
      </c>
      <c r="AO11" s="24">
        <f t="shared" si="48"/>
        <v>24000</v>
      </c>
      <c r="AP11" s="22">
        <f t="shared" si="49"/>
        <v>0</v>
      </c>
      <c r="AQ11" s="24">
        <f>SUMIF(消費12!$D$3:$D$320,'2025年予実'!$B11,消費12!$C$3:$C$320)</f>
        <v>0</v>
      </c>
      <c r="AR11" s="24">
        <f t="shared" si="50"/>
        <v>24000</v>
      </c>
      <c r="AS11" s="22">
        <f t="shared" si="51"/>
        <v>0</v>
      </c>
    </row>
    <row r="12" spans="1:45" x14ac:dyDescent="0.4">
      <c r="A12" s="238"/>
      <c r="B12" s="65" t="s">
        <v>48</v>
      </c>
      <c r="C12" s="63">
        <v>7000</v>
      </c>
      <c r="D12" s="24">
        <f t="shared" si="13"/>
        <v>3704.4285714285716</v>
      </c>
      <c r="E12" s="24">
        <f t="shared" si="28"/>
        <v>3295.5714285714284</v>
      </c>
      <c r="F12" s="22">
        <f t="shared" si="0"/>
        <v>0.52920408163265309</v>
      </c>
      <c r="G12" s="24">
        <f t="shared" si="15"/>
        <v>25931</v>
      </c>
      <c r="H12" s="41"/>
      <c r="I12" s="43"/>
      <c r="J12" s="24">
        <f>SUMIF(消費01!$D$3:$D$259,'2025年予実'!$B12,消費01!$C$3:$C$259)</f>
        <v>2681</v>
      </c>
      <c r="K12" s="24">
        <f t="shared" si="27"/>
        <v>4319</v>
      </c>
      <c r="L12" s="22">
        <f t="shared" si="29"/>
        <v>0.38300000000000001</v>
      </c>
      <c r="M12" s="24">
        <f>SUMIF(消費02!$D$3:$D$287,'2025年予実'!$B12,消費02!$C$3:$C$287)</f>
        <v>1693</v>
      </c>
      <c r="N12" s="24">
        <f t="shared" si="30"/>
        <v>5307</v>
      </c>
      <c r="O12" s="22">
        <f t="shared" si="31"/>
        <v>0.24185714285714285</v>
      </c>
      <c r="P12" s="24">
        <f>SUMIF(消費03!$D$3:$D$308,'2025年予実'!$B12,消費03!$C$3:$C$308)</f>
        <v>5757</v>
      </c>
      <c r="Q12" s="24">
        <f t="shared" si="32"/>
        <v>1243</v>
      </c>
      <c r="R12" s="22">
        <f t="shared" si="33"/>
        <v>0.8224285714285714</v>
      </c>
      <c r="S12" s="24">
        <f>SUMIF(消費04!$D$3:$D$316,'2025年予実'!$B12,消費04!$C$3:$C$316)</f>
        <v>3596</v>
      </c>
      <c r="T12" s="24">
        <f t="shared" si="34"/>
        <v>3404</v>
      </c>
      <c r="U12" s="22">
        <f t="shared" si="35"/>
        <v>0.51371428571428568</v>
      </c>
      <c r="V12" s="24">
        <f>SUMIF(消費05!$D$3:$D$339,'2025年予実'!$B12,消費05!$C$3:$C$339)</f>
        <v>6094</v>
      </c>
      <c r="W12" s="24">
        <f t="shared" si="36"/>
        <v>906</v>
      </c>
      <c r="X12" s="22">
        <f t="shared" si="37"/>
        <v>0.87057142857142855</v>
      </c>
      <c r="Y12" s="24">
        <f>SUMIF(消費06!$D$3:$D$303,'2025年予実'!$B12,消費06!$C$3:$C$303)</f>
        <v>2508</v>
      </c>
      <c r="Z12" s="24">
        <f t="shared" si="38"/>
        <v>4492</v>
      </c>
      <c r="AA12" s="22">
        <f t="shared" si="39"/>
        <v>0.35828571428571426</v>
      </c>
      <c r="AB12" s="24">
        <f>SUMIF(消費07!$D$3:$D$303,'2025年予実'!$B12,消費07!$C$3:$C$303)</f>
        <v>3602</v>
      </c>
      <c r="AC12" s="24">
        <f t="shared" si="40"/>
        <v>3398</v>
      </c>
      <c r="AD12" s="22">
        <f t="shared" si="41"/>
        <v>0.51457142857142857</v>
      </c>
      <c r="AE12" s="24">
        <f>SUMIF(消費08!$D$3:$D$327,'2025年予実'!$B12,消費08!$C$3:$C$327)</f>
        <v>1894</v>
      </c>
      <c r="AF12" s="24">
        <f t="shared" si="42"/>
        <v>5106</v>
      </c>
      <c r="AG12" s="22">
        <f t="shared" si="43"/>
        <v>0.27057142857142857</v>
      </c>
      <c r="AH12" s="24">
        <f>SUMIF(消費09!$D$3:$D$317,'2025年予実'!$B12,消費09!$C$3:$C$317)</f>
        <v>0</v>
      </c>
      <c r="AI12" s="24">
        <f t="shared" si="44"/>
        <v>7000</v>
      </c>
      <c r="AJ12" s="22">
        <f t="shared" si="45"/>
        <v>0</v>
      </c>
      <c r="AK12" s="24">
        <f>SUMIF(消費10!$D$3:$D$332,'2025年予実'!$B12,消費10!$C$3:$C$332)</f>
        <v>0</v>
      </c>
      <c r="AL12" s="24">
        <f t="shared" si="46"/>
        <v>7000</v>
      </c>
      <c r="AM12" s="22">
        <f t="shared" si="47"/>
        <v>0</v>
      </c>
      <c r="AN12" s="24">
        <f>SUMIF(消費11!$D$3:$D$327,'2025年予実'!$B12,消費11!$C$3:$C$327)</f>
        <v>252</v>
      </c>
      <c r="AO12" s="24">
        <f t="shared" si="48"/>
        <v>6748</v>
      </c>
      <c r="AP12" s="22">
        <f t="shared" si="49"/>
        <v>3.5999999999999997E-2</v>
      </c>
      <c r="AQ12" s="24">
        <f>SUMIF(消費12!$D$3:$D$320,'2025年予実'!$B12,消費12!$C$3:$C$320)</f>
        <v>0</v>
      </c>
      <c r="AR12" s="24">
        <f t="shared" si="50"/>
        <v>7000</v>
      </c>
      <c r="AS12" s="22">
        <f t="shared" si="51"/>
        <v>0</v>
      </c>
    </row>
    <row r="13" spans="1:45" x14ac:dyDescent="0.4">
      <c r="A13" s="238"/>
      <c r="B13" s="65" t="s">
        <v>184</v>
      </c>
      <c r="C13" s="178">
        <v>0</v>
      </c>
      <c r="D13" s="41">
        <f t="shared" ref="D13" si="52">AVERAGE(J13,M13,P13,S13,V13)</f>
        <v>0</v>
      </c>
      <c r="E13" s="41">
        <f t="shared" si="28"/>
        <v>0</v>
      </c>
      <c r="F13" s="43">
        <f t="shared" si="0"/>
        <v>0</v>
      </c>
      <c r="G13" s="41">
        <f t="shared" ref="G13" si="53">SUM(J13,M13,P13,S13,V13)</f>
        <v>0</v>
      </c>
      <c r="H13" s="41"/>
      <c r="I13" s="43"/>
      <c r="J13" s="41">
        <f>SUMIF(消費01!$D$3:$D$259,'2025年予実'!$B13,消費01!$C$3:$C$259)</f>
        <v>0</v>
      </c>
      <c r="K13" s="41">
        <f t="shared" si="27"/>
        <v>0</v>
      </c>
      <c r="L13" s="43">
        <f t="shared" si="29"/>
        <v>0</v>
      </c>
      <c r="M13" s="41">
        <f>SUMIF(消費02!$D$3:$D$287,'2025年予実'!$B13,消費02!$C$3:$C$287)</f>
        <v>0</v>
      </c>
      <c r="N13" s="41">
        <f t="shared" si="30"/>
        <v>0</v>
      </c>
      <c r="O13" s="43">
        <f t="shared" si="31"/>
        <v>0</v>
      </c>
      <c r="P13" s="41">
        <f>SUMIF(消費03!$D$3:$D$308,'2025年予実'!$B13,消費03!$C$3:$C$308)</f>
        <v>0</v>
      </c>
      <c r="Q13" s="41">
        <f t="shared" si="32"/>
        <v>0</v>
      </c>
      <c r="R13" s="43">
        <f t="shared" si="33"/>
        <v>0</v>
      </c>
      <c r="S13" s="41">
        <f>SUMIF(消費04!$D$3:$D$316,'2025年予実'!$B13,消費04!$C$3:$C$316)</f>
        <v>0</v>
      </c>
      <c r="T13" s="41">
        <f t="shared" si="34"/>
        <v>0</v>
      </c>
      <c r="U13" s="43">
        <f t="shared" si="35"/>
        <v>0</v>
      </c>
      <c r="V13" s="41">
        <f>SUMIF(消費05!$D$3:$D$339,'2025年予実'!$B13,消費05!$C$3:$C$339)</f>
        <v>0</v>
      </c>
      <c r="W13" s="41">
        <f t="shared" si="36"/>
        <v>0</v>
      </c>
      <c r="X13" s="43">
        <f t="shared" si="37"/>
        <v>0</v>
      </c>
      <c r="Y13" s="41">
        <f>SUMIF(消費06!$D$3:$D$303,'2025年予実'!$B13,消費06!$C$3:$C$303)</f>
        <v>0</v>
      </c>
      <c r="Z13" s="41">
        <f t="shared" si="38"/>
        <v>0</v>
      </c>
      <c r="AA13" s="43">
        <f t="shared" si="39"/>
        <v>0</v>
      </c>
      <c r="AB13" s="157">
        <f>SUMIF(消費07!$D$3:$D$303,'2025年予実'!$B13,消費07!$C$3:$C$303)</f>
        <v>0</v>
      </c>
      <c r="AC13" s="157">
        <f t="shared" si="40"/>
        <v>0</v>
      </c>
      <c r="AD13" s="158">
        <f t="shared" si="41"/>
        <v>0</v>
      </c>
      <c r="AE13" s="157">
        <f>SUMIF(消費08!$D$3:$D$327,'2025年予実'!$B13,消費08!$C$3:$C$327)</f>
        <v>0</v>
      </c>
      <c r="AF13" s="157">
        <f t="shared" si="42"/>
        <v>0</v>
      </c>
      <c r="AG13" s="158">
        <f t="shared" si="43"/>
        <v>0</v>
      </c>
      <c r="AH13" s="157">
        <f>SUMIF(消費09!$D$3:$D$317,'2025年予実'!$B13,消費09!$C$3:$C$317)</f>
        <v>0</v>
      </c>
      <c r="AI13" s="157">
        <f t="shared" si="44"/>
        <v>0</v>
      </c>
      <c r="AJ13" s="158">
        <f t="shared" si="45"/>
        <v>0</v>
      </c>
      <c r="AK13" s="157">
        <f>SUMIF(消費10!$D$3:$D$332,'2025年予実'!$B13,消費10!$C$3:$C$332)</f>
        <v>0</v>
      </c>
      <c r="AL13" s="157">
        <f t="shared" si="46"/>
        <v>0</v>
      </c>
      <c r="AM13" s="158">
        <f t="shared" si="47"/>
        <v>0</v>
      </c>
      <c r="AN13" s="157">
        <f>SUMIF(消費11!$D$3:$D$327,'2025年予実'!$B13,消費11!$C$3:$C$327)</f>
        <v>0</v>
      </c>
      <c r="AO13" s="157">
        <f t="shared" si="48"/>
        <v>0</v>
      </c>
      <c r="AP13" s="158">
        <f t="shared" si="49"/>
        <v>0</v>
      </c>
      <c r="AQ13" s="157">
        <f>SUMIF(消費12!$D$3:$D$320,'2025年予実'!$B13,消費12!$C$3:$C$320)</f>
        <v>0</v>
      </c>
      <c r="AR13" s="157">
        <f t="shared" si="50"/>
        <v>0</v>
      </c>
      <c r="AS13" s="158">
        <f t="shared" si="51"/>
        <v>0</v>
      </c>
    </row>
    <row r="14" spans="1:45" x14ac:dyDescent="0.4">
      <c r="A14" s="238"/>
      <c r="B14" s="65" t="s">
        <v>90</v>
      </c>
      <c r="C14" s="63">
        <v>100000</v>
      </c>
      <c r="D14" s="24">
        <f t="shared" si="13"/>
        <v>100000</v>
      </c>
      <c r="E14" s="24">
        <f t="shared" si="28"/>
        <v>0</v>
      </c>
      <c r="F14" s="22">
        <f t="shared" si="0"/>
        <v>1</v>
      </c>
      <c r="G14" s="24">
        <f t="shared" si="15"/>
        <v>700000</v>
      </c>
      <c r="H14" s="41"/>
      <c r="I14" s="43"/>
      <c r="J14" s="24">
        <f>SUMIF(消費01!$D$3:$D$259,'2025年予実'!$B14,消費01!$C$3:$C$259)</f>
        <v>100000</v>
      </c>
      <c r="K14" s="24">
        <f t="shared" si="27"/>
        <v>0</v>
      </c>
      <c r="L14" s="22">
        <f t="shared" si="29"/>
        <v>1</v>
      </c>
      <c r="M14" s="24">
        <f>SUMIF(消費02!$D$3:$D$287,'2025年予実'!$B14,消費02!$C$3:$C$287)</f>
        <v>100000</v>
      </c>
      <c r="N14" s="24">
        <f t="shared" si="30"/>
        <v>0</v>
      </c>
      <c r="O14" s="22">
        <f t="shared" si="31"/>
        <v>1</v>
      </c>
      <c r="P14" s="24">
        <f>SUMIF(消費03!$D$3:$D$308,'2025年予実'!$B14,消費03!$C$3:$C$308)</f>
        <v>100000</v>
      </c>
      <c r="Q14" s="24">
        <f t="shared" si="32"/>
        <v>0</v>
      </c>
      <c r="R14" s="22">
        <f t="shared" si="33"/>
        <v>1</v>
      </c>
      <c r="S14" s="24">
        <f>SUMIF(消費04!$D$3:$D$316,'2025年予実'!$B14,消費04!$C$3:$C$316)</f>
        <v>100000</v>
      </c>
      <c r="T14" s="24">
        <f t="shared" si="34"/>
        <v>0</v>
      </c>
      <c r="U14" s="22">
        <f t="shared" si="35"/>
        <v>1</v>
      </c>
      <c r="V14" s="24">
        <f>SUMIF(消費05!$D$3:$D$339,'2025年予実'!$B14,消費05!$C$3:$C$339)</f>
        <v>100000</v>
      </c>
      <c r="W14" s="24">
        <f t="shared" si="36"/>
        <v>0</v>
      </c>
      <c r="X14" s="22">
        <f t="shared" si="37"/>
        <v>1</v>
      </c>
      <c r="Y14" s="24">
        <f>SUMIF(消費06!$D$3:$D$303,'2025年予実'!$B14,消費06!$C$3:$C$303)</f>
        <v>100000</v>
      </c>
      <c r="Z14" s="24">
        <f t="shared" si="38"/>
        <v>0</v>
      </c>
      <c r="AA14" s="22">
        <f t="shared" si="39"/>
        <v>1</v>
      </c>
      <c r="AB14" s="24">
        <f>SUMIF(消費07!$D$3:$D$303,'2025年予実'!$B14,消費07!$C$3:$C$303)</f>
        <v>100000</v>
      </c>
      <c r="AC14" s="24">
        <f t="shared" si="40"/>
        <v>0</v>
      </c>
      <c r="AD14" s="22">
        <f t="shared" si="41"/>
        <v>1</v>
      </c>
      <c r="AE14" s="24">
        <f>SUMIF(消費08!$D$3:$D$327,'2025年予実'!$B14,消費08!$C$3:$C$327)</f>
        <v>100000</v>
      </c>
      <c r="AF14" s="24">
        <f t="shared" si="42"/>
        <v>0</v>
      </c>
      <c r="AG14" s="22">
        <f t="shared" si="43"/>
        <v>1</v>
      </c>
      <c r="AH14" s="24">
        <f>SUMIF(消費09!$D$3:$D$317,'2025年予実'!$B14,消費09!$C$3:$C$317)</f>
        <v>100000</v>
      </c>
      <c r="AI14" s="24">
        <f t="shared" si="44"/>
        <v>0</v>
      </c>
      <c r="AJ14" s="22">
        <f t="shared" si="45"/>
        <v>1</v>
      </c>
      <c r="AK14" s="24">
        <f>SUMIF(消費10!$D$3:$D$332,'2025年予実'!$B14,消費10!$C$3:$C$332)</f>
        <v>100000</v>
      </c>
      <c r="AL14" s="24">
        <f t="shared" si="46"/>
        <v>0</v>
      </c>
      <c r="AM14" s="22">
        <f t="shared" si="47"/>
        <v>1</v>
      </c>
      <c r="AN14" s="24">
        <f>SUMIF(消費11!$D$3:$D$327,'2025年予実'!$B14,消費11!$C$3:$C$327)</f>
        <v>100000</v>
      </c>
      <c r="AO14" s="24">
        <f t="shared" si="48"/>
        <v>0</v>
      </c>
      <c r="AP14" s="22">
        <f t="shared" si="49"/>
        <v>1</v>
      </c>
      <c r="AQ14" s="24">
        <f>SUMIF(消費12!$D$3:$D$320,'2025年予実'!$B14,消費12!$C$3:$C$320)</f>
        <v>100000</v>
      </c>
      <c r="AR14" s="24">
        <f t="shared" si="50"/>
        <v>0</v>
      </c>
      <c r="AS14" s="22">
        <f t="shared" si="51"/>
        <v>1</v>
      </c>
    </row>
    <row r="15" spans="1:45" x14ac:dyDescent="0.4">
      <c r="A15" s="238"/>
      <c r="B15" s="65" t="s">
        <v>96</v>
      </c>
      <c r="C15" s="63">
        <v>3000</v>
      </c>
      <c r="D15" s="24">
        <f t="shared" si="13"/>
        <v>742.85714285714289</v>
      </c>
      <c r="E15" s="24">
        <f t="shared" si="28"/>
        <v>2257.1428571428569</v>
      </c>
      <c r="F15" s="22">
        <f t="shared" si="0"/>
        <v>0.24761904761904763</v>
      </c>
      <c r="G15" s="24">
        <f t="shared" si="15"/>
        <v>5200</v>
      </c>
      <c r="H15" s="41"/>
      <c r="I15" s="43"/>
      <c r="J15" s="24">
        <f>SUMIF(消費01!$D$3:$D$259,'2025年予実'!$B15,消費01!$C$3:$C$259)</f>
        <v>1300</v>
      </c>
      <c r="K15" s="24">
        <f t="shared" si="27"/>
        <v>1700</v>
      </c>
      <c r="L15" s="22">
        <f t="shared" si="29"/>
        <v>0.43333333333333335</v>
      </c>
      <c r="M15" s="24">
        <f>SUMIF(消費02!$D$3:$D$287,'2025年予実'!$B15,消費02!$C$3:$C$287)</f>
        <v>0</v>
      </c>
      <c r="N15" s="24">
        <f t="shared" si="30"/>
        <v>3000</v>
      </c>
      <c r="O15" s="22">
        <f t="shared" si="31"/>
        <v>0</v>
      </c>
      <c r="P15" s="24">
        <f>SUMIF(消費03!$D$3:$D$308,'2025年予実'!$B15,消費03!$C$3:$C$308)</f>
        <v>0</v>
      </c>
      <c r="Q15" s="24">
        <f t="shared" si="32"/>
        <v>3000</v>
      </c>
      <c r="R15" s="22">
        <f t="shared" si="33"/>
        <v>0</v>
      </c>
      <c r="S15" s="24">
        <f>SUMIF(消費04!$D$3:$D$316,'2025年予実'!$B15,消費04!$C$3:$C$316)</f>
        <v>1300</v>
      </c>
      <c r="T15" s="24">
        <f t="shared" si="34"/>
        <v>1700</v>
      </c>
      <c r="U15" s="22">
        <f t="shared" si="35"/>
        <v>0.43333333333333335</v>
      </c>
      <c r="V15" s="24">
        <f>SUMIF(消費05!$D$3:$D$339,'2025年予実'!$B15,消費05!$C$3:$C$339)</f>
        <v>0</v>
      </c>
      <c r="W15" s="24">
        <f t="shared" si="36"/>
        <v>3000</v>
      </c>
      <c r="X15" s="22">
        <f t="shared" si="37"/>
        <v>0</v>
      </c>
      <c r="Y15" s="24">
        <f>SUMIF(消費06!$D$3:$D$303,'2025年予実'!$B15,消費06!$C$3:$C$303)</f>
        <v>1300</v>
      </c>
      <c r="Z15" s="24">
        <f t="shared" si="38"/>
        <v>1700</v>
      </c>
      <c r="AA15" s="22">
        <f t="shared" si="39"/>
        <v>0.43333333333333335</v>
      </c>
      <c r="AB15" s="24">
        <f>SUMIF(消費07!$D$3:$D$303,'2025年予実'!$B15,消費07!$C$3:$C$303)</f>
        <v>1300</v>
      </c>
      <c r="AC15" s="24">
        <f t="shared" si="40"/>
        <v>1700</v>
      </c>
      <c r="AD15" s="22">
        <f t="shared" si="41"/>
        <v>0.43333333333333335</v>
      </c>
      <c r="AE15" s="24">
        <f>SUMIF(消費08!$D$3:$D$327,'2025年予実'!$B15,消費08!$C$3:$C$327)</f>
        <v>0</v>
      </c>
      <c r="AF15" s="24">
        <f t="shared" si="42"/>
        <v>3000</v>
      </c>
      <c r="AG15" s="22">
        <f t="shared" si="43"/>
        <v>0</v>
      </c>
      <c r="AH15" s="24">
        <f>SUMIF(消費09!$D$3:$D$317,'2025年予実'!$B15,消費09!$C$3:$C$317)</f>
        <v>0</v>
      </c>
      <c r="AI15" s="24">
        <f t="shared" si="44"/>
        <v>3000</v>
      </c>
      <c r="AJ15" s="22">
        <f t="shared" si="45"/>
        <v>0</v>
      </c>
      <c r="AK15" s="24">
        <f>SUMIF(消費10!$D$3:$D$332,'2025年予実'!$B15,消費10!$C$3:$C$332)</f>
        <v>0</v>
      </c>
      <c r="AL15" s="24">
        <f t="shared" si="46"/>
        <v>3000</v>
      </c>
      <c r="AM15" s="22">
        <f t="shared" si="47"/>
        <v>0</v>
      </c>
      <c r="AN15" s="24">
        <f>SUMIF(消費11!$D$3:$D$327,'2025年予実'!$B15,消費11!$C$3:$C$327)</f>
        <v>0</v>
      </c>
      <c r="AO15" s="24">
        <f t="shared" si="48"/>
        <v>3000</v>
      </c>
      <c r="AP15" s="22">
        <f t="shared" si="49"/>
        <v>0</v>
      </c>
      <c r="AQ15" s="24">
        <f>SUMIF(消費12!$D$3:$D$320,'2025年予実'!$B15,消費12!$C$3:$C$320)</f>
        <v>0</v>
      </c>
      <c r="AR15" s="24">
        <f t="shared" si="50"/>
        <v>3000</v>
      </c>
      <c r="AS15" s="22">
        <f t="shared" si="51"/>
        <v>0</v>
      </c>
    </row>
    <row r="16" spans="1:45" x14ac:dyDescent="0.4">
      <c r="A16" s="238"/>
      <c r="B16" s="58" t="s">
        <v>44</v>
      </c>
      <c r="C16" s="63">
        <f>SUM(C6:C15)</f>
        <v>251000</v>
      </c>
      <c r="D16" s="24">
        <f t="shared" si="13"/>
        <v>218164.14285714287</v>
      </c>
      <c r="E16" s="24">
        <f t="shared" si="28"/>
        <v>32835.85714285713</v>
      </c>
      <c r="F16" s="22">
        <f t="shared" si="0"/>
        <v>0.86917985202048953</v>
      </c>
      <c r="G16" s="24">
        <f t="shared" si="15"/>
        <v>1527149</v>
      </c>
      <c r="H16" s="41"/>
      <c r="I16" s="43"/>
      <c r="J16" s="24">
        <f>SUM(J6:J15)</f>
        <v>232200</v>
      </c>
      <c r="K16" s="24">
        <f t="shared" si="27"/>
        <v>18800</v>
      </c>
      <c r="L16" s="22">
        <f t="shared" si="29"/>
        <v>0.92509960159362548</v>
      </c>
      <c r="M16" s="24">
        <f>SUM(M6:M15)</f>
        <v>212990</v>
      </c>
      <c r="N16" s="24">
        <f t="shared" si="30"/>
        <v>38010</v>
      </c>
      <c r="O16" s="22">
        <f t="shared" si="31"/>
        <v>0.84856573705179283</v>
      </c>
      <c r="P16" s="24">
        <f>SUM(P6:P15)</f>
        <v>223487</v>
      </c>
      <c r="Q16" s="24">
        <f t="shared" si="32"/>
        <v>27513</v>
      </c>
      <c r="R16" s="22">
        <f t="shared" si="33"/>
        <v>0.8903864541832669</v>
      </c>
      <c r="S16" s="24">
        <f>SUM(S6:S15)</f>
        <v>227108</v>
      </c>
      <c r="T16" s="24">
        <f t="shared" si="34"/>
        <v>23892</v>
      </c>
      <c r="U16" s="22">
        <f t="shared" si="35"/>
        <v>0.90481274900398412</v>
      </c>
      <c r="V16" s="24">
        <f>SUM(V6:V15)</f>
        <v>232580</v>
      </c>
      <c r="W16" s="24">
        <f t="shared" si="36"/>
        <v>18420</v>
      </c>
      <c r="X16" s="22">
        <f t="shared" si="37"/>
        <v>0.92661354581673305</v>
      </c>
      <c r="Y16" s="24">
        <f>SUM(Y6:Y15)</f>
        <v>204899</v>
      </c>
      <c r="Z16" s="24">
        <f t="shared" si="38"/>
        <v>46101</v>
      </c>
      <c r="AA16" s="22">
        <f t="shared" si="39"/>
        <v>0.81633067729083664</v>
      </c>
      <c r="AB16" s="24">
        <f>SUM(AB6:AB15)</f>
        <v>193885</v>
      </c>
      <c r="AC16" s="24">
        <f t="shared" si="40"/>
        <v>57115</v>
      </c>
      <c r="AD16" s="22">
        <f t="shared" si="41"/>
        <v>0.77245019920318725</v>
      </c>
      <c r="AE16" s="24">
        <f>SUM(AE6:AE15)</f>
        <v>132084</v>
      </c>
      <c r="AF16" s="24">
        <f t="shared" si="42"/>
        <v>118916</v>
      </c>
      <c r="AG16" s="22">
        <f t="shared" si="43"/>
        <v>0.52623107569721117</v>
      </c>
      <c r="AH16" s="24">
        <f>SUM(AH6:AH15)</f>
        <v>110003</v>
      </c>
      <c r="AI16" s="24">
        <f t="shared" si="44"/>
        <v>140997</v>
      </c>
      <c r="AJ16" s="22">
        <f t="shared" si="45"/>
        <v>0.4382589641434263</v>
      </c>
      <c r="AK16" s="24">
        <f>SUM(AK6:AK15)</f>
        <v>110003</v>
      </c>
      <c r="AL16" s="24">
        <f t="shared" si="46"/>
        <v>140997</v>
      </c>
      <c r="AM16" s="22">
        <f t="shared" si="47"/>
        <v>0.4382589641434263</v>
      </c>
      <c r="AN16" s="24">
        <f>SUM(AN6:AN15)</f>
        <v>109237</v>
      </c>
      <c r="AO16" s="24">
        <f t="shared" si="48"/>
        <v>141763</v>
      </c>
      <c r="AP16" s="22">
        <f t="shared" si="49"/>
        <v>0.43520717131474101</v>
      </c>
      <c r="AQ16" s="24">
        <f>SUM(AQ6:AQ15)</f>
        <v>108985</v>
      </c>
      <c r="AR16" s="24">
        <f t="shared" si="50"/>
        <v>142015</v>
      </c>
      <c r="AS16" s="22">
        <f t="shared" si="51"/>
        <v>0.43420318725099599</v>
      </c>
    </row>
    <row r="17" spans="1:45" ht="18" customHeight="1" x14ac:dyDescent="0.4">
      <c r="A17" s="256" t="s">
        <v>36</v>
      </c>
      <c r="B17" s="59" t="s">
        <v>183</v>
      </c>
      <c r="C17" s="63">
        <v>20000</v>
      </c>
      <c r="D17" s="24">
        <f t="shared" si="13"/>
        <v>15128</v>
      </c>
      <c r="E17" s="24">
        <f t="shared" si="28"/>
        <v>4872</v>
      </c>
      <c r="F17" s="22">
        <f t="shared" si="0"/>
        <v>0.75639999999999996</v>
      </c>
      <c r="G17" s="24">
        <f t="shared" si="15"/>
        <v>105896</v>
      </c>
      <c r="H17" s="41"/>
      <c r="I17" s="43"/>
      <c r="J17" s="24">
        <f>SUMIF(消費01!$D$3:$D$259,'2025年予実'!$B17,消費01!$C$3:$C$259)</f>
        <v>9860</v>
      </c>
      <c r="K17" s="24">
        <f t="shared" si="27"/>
        <v>10140</v>
      </c>
      <c r="L17" s="22">
        <f t="shared" si="29"/>
        <v>0.49299999999999999</v>
      </c>
      <c r="M17" s="24">
        <f>SUMIF(消費02!$D$3:$D$287,'2025年予実'!$B17,消費02!$C$3:$C$287)</f>
        <v>11870</v>
      </c>
      <c r="N17" s="24">
        <f t="shared" si="30"/>
        <v>8130</v>
      </c>
      <c r="O17" s="22">
        <f t="shared" si="31"/>
        <v>0.59350000000000003</v>
      </c>
      <c r="P17" s="24">
        <f>SUMIF(消費03!$D$3:$D$308,'2025年予実'!$B17,消費03!$C$3:$C$308)</f>
        <v>22027</v>
      </c>
      <c r="Q17" s="24">
        <f t="shared" si="32"/>
        <v>-2027</v>
      </c>
      <c r="R17" s="22">
        <f t="shared" si="33"/>
        <v>1.1013500000000001</v>
      </c>
      <c r="S17" s="24">
        <f>SUMIF(消費04!$D$3:$D$316,'2025年予実'!$B17,消費04!$C$3:$C$316)</f>
        <v>18337</v>
      </c>
      <c r="T17" s="24">
        <f t="shared" si="34"/>
        <v>1663</v>
      </c>
      <c r="U17" s="22">
        <f t="shared" si="35"/>
        <v>0.91685000000000005</v>
      </c>
      <c r="V17" s="24">
        <f>SUMIF(消費05!$D$3:$D$339,'2025年予実'!$B17,消費05!$C$3:$C$339)</f>
        <v>15630</v>
      </c>
      <c r="W17" s="24">
        <f t="shared" si="36"/>
        <v>4370</v>
      </c>
      <c r="X17" s="22">
        <f t="shared" si="37"/>
        <v>0.78149999999999997</v>
      </c>
      <c r="Y17" s="24">
        <f>SUMIF(消費06!$D$3:$D$303,'2025年予実'!$B17,消費06!$C$3:$C$303)</f>
        <v>19380</v>
      </c>
      <c r="Z17" s="24">
        <f t="shared" si="38"/>
        <v>620</v>
      </c>
      <c r="AA17" s="22">
        <f t="shared" si="39"/>
        <v>0.96899999999999997</v>
      </c>
      <c r="AB17" s="24">
        <f>SUMIF(消費07!$D$3:$D$303,'2025年予実'!$B17,消費07!$C$3:$C$303)</f>
        <v>8792</v>
      </c>
      <c r="AC17" s="24">
        <f t="shared" si="40"/>
        <v>11208</v>
      </c>
      <c r="AD17" s="22">
        <f t="shared" si="41"/>
        <v>0.43959999999999999</v>
      </c>
      <c r="AE17" s="24">
        <f>SUMIF(消費08!$D$3:$D$327,'2025年予実'!$B17,消費08!$C$3:$C$327)</f>
        <v>3213</v>
      </c>
      <c r="AF17" s="24">
        <f t="shared" si="42"/>
        <v>16787</v>
      </c>
      <c r="AG17" s="22">
        <f t="shared" si="43"/>
        <v>0.16064999999999999</v>
      </c>
      <c r="AH17" s="24">
        <f>SUMIF(消費09!$D$3:$D$317,'2025年予実'!$B17,消費09!$C$3:$C$317)</f>
        <v>0</v>
      </c>
      <c r="AI17" s="24">
        <f t="shared" si="44"/>
        <v>20000</v>
      </c>
      <c r="AJ17" s="22">
        <f t="shared" si="45"/>
        <v>0</v>
      </c>
      <c r="AK17" s="24">
        <f>SUMIF(消費10!$D$3:$D$332,'2025年予実'!$B17,消費10!$C$3:$C$332)</f>
        <v>0</v>
      </c>
      <c r="AL17" s="24">
        <f t="shared" si="46"/>
        <v>20000</v>
      </c>
      <c r="AM17" s="22">
        <f t="shared" si="47"/>
        <v>0</v>
      </c>
      <c r="AN17" s="24">
        <f>SUMIF(消費11!$D$3:$D$327,'2025年予実'!$B17,消費11!$C$3:$C$327)</f>
        <v>0</v>
      </c>
      <c r="AO17" s="24">
        <f t="shared" si="48"/>
        <v>20000</v>
      </c>
      <c r="AP17" s="22">
        <f t="shared" si="49"/>
        <v>0</v>
      </c>
      <c r="AQ17" s="24">
        <f>SUMIF(消費12!$D$3:$D$320,'2025年予実'!$B17,消費12!$C$3:$C$320)</f>
        <v>0</v>
      </c>
      <c r="AR17" s="24">
        <f t="shared" si="50"/>
        <v>20000</v>
      </c>
      <c r="AS17" s="22">
        <f t="shared" si="51"/>
        <v>0</v>
      </c>
    </row>
    <row r="18" spans="1:45" ht="18" customHeight="1" x14ac:dyDescent="0.4">
      <c r="A18" s="256"/>
      <c r="B18" s="59" t="s">
        <v>24</v>
      </c>
      <c r="C18" s="63">
        <v>6000</v>
      </c>
      <c r="D18" s="24">
        <f t="shared" si="13"/>
        <v>9395.7142857142862</v>
      </c>
      <c r="E18" s="24">
        <f t="shared" si="28"/>
        <v>-3395.7142857142862</v>
      </c>
      <c r="F18" s="22">
        <f t="shared" si="0"/>
        <v>1.565952380952381</v>
      </c>
      <c r="G18" s="24">
        <f t="shared" si="15"/>
        <v>65770</v>
      </c>
      <c r="H18" s="41"/>
      <c r="I18" s="43"/>
      <c r="J18" s="24">
        <f>SUMIF(消費01!$D$3:$D$259,'2025年予実'!$B18,消費01!$C$3:$C$259)</f>
        <v>65770</v>
      </c>
      <c r="K18" s="24">
        <f t="shared" si="27"/>
        <v>-59770</v>
      </c>
      <c r="L18" s="22">
        <f t="shared" si="29"/>
        <v>10.961666666666666</v>
      </c>
      <c r="M18" s="24">
        <f>SUMIF(消費02!$D$3:$D$287,'2025年予実'!$B18,消費02!$C$3:$C$287)</f>
        <v>0</v>
      </c>
      <c r="N18" s="24">
        <f t="shared" si="30"/>
        <v>6000</v>
      </c>
      <c r="O18" s="22">
        <f t="shared" si="31"/>
        <v>0</v>
      </c>
      <c r="P18" s="24">
        <f>SUMIF(消費03!$D$3:$D$308,'2025年予実'!$B18,消費03!$C$3:$C$308)</f>
        <v>0</v>
      </c>
      <c r="Q18" s="24">
        <f t="shared" si="32"/>
        <v>6000</v>
      </c>
      <c r="R18" s="22">
        <f t="shared" si="33"/>
        <v>0</v>
      </c>
      <c r="S18" s="24">
        <f>SUMIF(消費04!$D$3:$D$316,'2025年予実'!$B18,消費04!$C$3:$C$316)</f>
        <v>0</v>
      </c>
      <c r="T18" s="24">
        <f t="shared" si="34"/>
        <v>6000</v>
      </c>
      <c r="U18" s="22">
        <f t="shared" si="35"/>
        <v>0</v>
      </c>
      <c r="V18" s="24">
        <f>SUMIF(消費05!$D$3:$D$339,'2025年予実'!$B18,消費05!$C$3:$C$339)</f>
        <v>0</v>
      </c>
      <c r="W18" s="24">
        <f t="shared" si="36"/>
        <v>6000</v>
      </c>
      <c r="X18" s="22">
        <f t="shared" si="37"/>
        <v>0</v>
      </c>
      <c r="Y18" s="24">
        <f>SUMIF(消費06!$D$3:$D$303,'2025年予実'!$B18,消費06!$C$3:$C$303)</f>
        <v>0</v>
      </c>
      <c r="Z18" s="24">
        <f t="shared" si="38"/>
        <v>6000</v>
      </c>
      <c r="AA18" s="22">
        <f t="shared" si="39"/>
        <v>0</v>
      </c>
      <c r="AB18" s="24">
        <f>SUMIF(消費07!$D$3:$D$303,'2025年予実'!$B18,消費07!$C$3:$C$303)</f>
        <v>0</v>
      </c>
      <c r="AC18" s="24">
        <f t="shared" si="40"/>
        <v>6000</v>
      </c>
      <c r="AD18" s="22">
        <f t="shared" si="41"/>
        <v>0</v>
      </c>
      <c r="AE18" s="24">
        <f>SUMIF(消費08!$D$3:$D$327,'2025年予実'!$B18,消費08!$C$3:$C$327)</f>
        <v>0</v>
      </c>
      <c r="AF18" s="24">
        <f t="shared" si="42"/>
        <v>6000</v>
      </c>
      <c r="AG18" s="22">
        <f t="shared" si="43"/>
        <v>0</v>
      </c>
      <c r="AH18" s="24">
        <f>SUMIF(消費09!$D$3:$D$317,'2025年予実'!$B18,消費09!$C$3:$C$317)</f>
        <v>0</v>
      </c>
      <c r="AI18" s="24">
        <f t="shared" si="44"/>
        <v>6000</v>
      </c>
      <c r="AJ18" s="22">
        <f t="shared" si="45"/>
        <v>0</v>
      </c>
      <c r="AK18" s="24">
        <f>SUMIF(消費10!$D$3:$D$332,'2025年予実'!$B18,消費10!$C$3:$C$332)</f>
        <v>0</v>
      </c>
      <c r="AL18" s="24">
        <f t="shared" si="46"/>
        <v>6000</v>
      </c>
      <c r="AM18" s="22">
        <f t="shared" si="47"/>
        <v>0</v>
      </c>
      <c r="AN18" s="24">
        <f>SUMIF(消費11!$D$3:$D$327,'2025年予実'!$B18,消費11!$C$3:$C$327)</f>
        <v>0</v>
      </c>
      <c r="AO18" s="24">
        <f t="shared" si="48"/>
        <v>6000</v>
      </c>
      <c r="AP18" s="22">
        <f t="shared" si="49"/>
        <v>0</v>
      </c>
      <c r="AQ18" s="24">
        <f>SUMIF(消費12!$D$3:$D$320,'2025年予実'!$B18,消費12!$C$3:$C$320)</f>
        <v>0</v>
      </c>
      <c r="AR18" s="24">
        <f t="shared" si="50"/>
        <v>6000</v>
      </c>
      <c r="AS18" s="22">
        <f t="shared" si="51"/>
        <v>0</v>
      </c>
    </row>
    <row r="19" spans="1:45" x14ac:dyDescent="0.4">
      <c r="A19" s="256"/>
      <c r="B19" s="59" t="s">
        <v>59</v>
      </c>
      <c r="C19" s="63">
        <v>13000</v>
      </c>
      <c r="D19" s="24">
        <f t="shared" si="13"/>
        <v>12350</v>
      </c>
      <c r="E19" s="24">
        <f t="shared" si="28"/>
        <v>650</v>
      </c>
      <c r="F19" s="22">
        <f t="shared" si="0"/>
        <v>0.95</v>
      </c>
      <c r="G19" s="24">
        <f t="shared" si="15"/>
        <v>86450</v>
      </c>
      <c r="H19" s="41"/>
      <c r="I19" s="43"/>
      <c r="J19" s="24">
        <f>SUMIF(消費01!$D$3:$D$259,'2025年予実'!$B19,消費01!$C$3:$C$259)</f>
        <v>12350</v>
      </c>
      <c r="K19" s="24">
        <f t="shared" si="27"/>
        <v>650</v>
      </c>
      <c r="L19" s="22">
        <f t="shared" si="29"/>
        <v>0.95</v>
      </c>
      <c r="M19" s="24">
        <f>SUMIF(消費02!$D$3:$D$287,'2025年予実'!$B19,消費02!$C$3:$C$287)</f>
        <v>12350</v>
      </c>
      <c r="N19" s="24">
        <f t="shared" si="30"/>
        <v>650</v>
      </c>
      <c r="O19" s="22">
        <f t="shared" si="31"/>
        <v>0.95</v>
      </c>
      <c r="P19" s="24">
        <f>SUMIF(消費03!$D$3:$D$308,'2025年予実'!$B19,消費03!$C$3:$C$308)</f>
        <v>12350</v>
      </c>
      <c r="Q19" s="24">
        <f t="shared" si="32"/>
        <v>650</v>
      </c>
      <c r="R19" s="22">
        <f t="shared" si="33"/>
        <v>0.95</v>
      </c>
      <c r="S19" s="24">
        <f>SUMIF(消費04!$D$3:$D$316,'2025年予実'!$B19,消費04!$C$3:$C$316)</f>
        <v>12350</v>
      </c>
      <c r="T19" s="24">
        <f t="shared" si="34"/>
        <v>650</v>
      </c>
      <c r="U19" s="22">
        <f t="shared" si="35"/>
        <v>0.95</v>
      </c>
      <c r="V19" s="24">
        <f>SUMIF(消費05!$D$3:$D$339,'2025年予実'!$B19,消費05!$C$3:$C$339)</f>
        <v>12350</v>
      </c>
      <c r="W19" s="24">
        <f t="shared" si="36"/>
        <v>650</v>
      </c>
      <c r="X19" s="22">
        <f t="shared" si="37"/>
        <v>0.95</v>
      </c>
      <c r="Y19" s="24">
        <f>SUMIF(消費06!$D$3:$D$303,'2025年予実'!$B19,消費06!$C$3:$C$303)</f>
        <v>12350</v>
      </c>
      <c r="Z19" s="24">
        <f t="shared" si="38"/>
        <v>650</v>
      </c>
      <c r="AA19" s="22">
        <f t="shared" si="39"/>
        <v>0.95</v>
      </c>
      <c r="AB19" s="24">
        <f>SUMIF(消費07!$D$3:$D$303,'2025年予実'!$B19,消費07!$C$3:$C$303)</f>
        <v>12350</v>
      </c>
      <c r="AC19" s="24">
        <f t="shared" si="40"/>
        <v>650</v>
      </c>
      <c r="AD19" s="22">
        <f t="shared" si="41"/>
        <v>0.95</v>
      </c>
      <c r="AE19" s="24">
        <f>SUMIF(消費08!$D$3:$D$327,'2025年予実'!$B19,消費08!$C$3:$C$327)</f>
        <v>12350</v>
      </c>
      <c r="AF19" s="24">
        <f t="shared" si="42"/>
        <v>650</v>
      </c>
      <c r="AG19" s="22">
        <f t="shared" si="43"/>
        <v>0.95</v>
      </c>
      <c r="AH19" s="24">
        <f>SUMIF(消費09!$D$3:$D$317,'2025年予実'!$B19,消費09!$C$3:$C$317)</f>
        <v>12350</v>
      </c>
      <c r="AI19" s="24">
        <f t="shared" si="44"/>
        <v>650</v>
      </c>
      <c r="AJ19" s="22">
        <f t="shared" si="45"/>
        <v>0.95</v>
      </c>
      <c r="AK19" s="24">
        <f>SUMIF(消費10!$D$3:$D$332,'2025年予実'!$B19,消費10!$C$3:$C$332)</f>
        <v>12350</v>
      </c>
      <c r="AL19" s="24">
        <f t="shared" si="46"/>
        <v>650</v>
      </c>
      <c r="AM19" s="22">
        <f t="shared" si="47"/>
        <v>0.95</v>
      </c>
      <c r="AN19" s="24">
        <f>SUMIF(消費11!$D$3:$D$327,'2025年予実'!$B19,消費11!$C$3:$C$327)</f>
        <v>12350</v>
      </c>
      <c r="AO19" s="24">
        <f t="shared" si="48"/>
        <v>650</v>
      </c>
      <c r="AP19" s="22">
        <f t="shared" si="49"/>
        <v>0.95</v>
      </c>
      <c r="AQ19" s="24">
        <f>SUMIF(消費12!$D$3:$D$320,'2025年予実'!$B19,消費12!$C$3:$C$320)</f>
        <v>12350</v>
      </c>
      <c r="AR19" s="24">
        <f t="shared" si="50"/>
        <v>650</v>
      </c>
      <c r="AS19" s="22">
        <f t="shared" si="51"/>
        <v>0.95</v>
      </c>
    </row>
    <row r="20" spans="1:45" x14ac:dyDescent="0.4">
      <c r="A20" s="68"/>
      <c r="B20" s="69" t="s">
        <v>63</v>
      </c>
      <c r="C20" s="63">
        <f>SUM(C16:C19)</f>
        <v>290000</v>
      </c>
      <c r="D20" s="24">
        <f t="shared" si="13"/>
        <v>255037.85714285713</v>
      </c>
      <c r="E20" s="24">
        <f>C20-D20</f>
        <v>34962.14285714287</v>
      </c>
      <c r="F20" s="22">
        <f>IF(ISERR(D20/C20),0,D20/C20)</f>
        <v>0.87944088669950737</v>
      </c>
      <c r="G20" s="24">
        <f t="shared" si="15"/>
        <v>1785265</v>
      </c>
      <c r="H20" s="41"/>
      <c r="I20" s="43"/>
      <c r="J20" s="63">
        <f>SUM(J16:J19)</f>
        <v>320180</v>
      </c>
      <c r="K20" s="24">
        <f>C20-J20</f>
        <v>-30180</v>
      </c>
      <c r="L20" s="22">
        <f>IF(ISERR(J20/$C20),0,J20/$C20)</f>
        <v>1.1040689655172413</v>
      </c>
      <c r="M20" s="63">
        <f>SUM(M16:M19)</f>
        <v>237210</v>
      </c>
      <c r="N20" s="24">
        <f>$C20-M20</f>
        <v>52790</v>
      </c>
      <c r="O20" s="22">
        <f>IF(ISERR(M20/$C20),0,M20/$C20)</f>
        <v>0.81796551724137934</v>
      </c>
      <c r="P20" s="63">
        <f>SUM(P16:P19)</f>
        <v>257864</v>
      </c>
      <c r="Q20" s="24">
        <f>$C20-P20</f>
        <v>32136</v>
      </c>
      <c r="R20" s="22">
        <f>IF(ISERR(P20/$C20),0,P20/$C20)</f>
        <v>0.8891862068965517</v>
      </c>
      <c r="S20" s="63">
        <f>SUM(S16:S19)</f>
        <v>257795</v>
      </c>
      <c r="T20" s="24">
        <f>$C20-S20</f>
        <v>32205</v>
      </c>
      <c r="U20" s="22">
        <f>IF(ISERR(S20/$C20),0,S20/$C20)</f>
        <v>0.88894827586206893</v>
      </c>
      <c r="V20" s="63">
        <f>SUM(V16:V19)</f>
        <v>260560</v>
      </c>
      <c r="W20" s="24">
        <f>$C20-V20</f>
        <v>29440</v>
      </c>
      <c r="X20" s="22">
        <f>IF(ISERR(V20/$C20),0,V20/$C20)</f>
        <v>0.8984827586206896</v>
      </c>
      <c r="Y20" s="63">
        <f>SUM(Y16:Y19)</f>
        <v>236629</v>
      </c>
      <c r="Z20" s="24">
        <f>$C20-Y20</f>
        <v>53371</v>
      </c>
      <c r="AA20" s="22">
        <f>IF(ISERR(Y20/$C20),0,Y20/$C20)</f>
        <v>0.81596206896551726</v>
      </c>
      <c r="AB20" s="63">
        <f>SUM(AB16:AB19)</f>
        <v>215027</v>
      </c>
      <c r="AC20" s="24">
        <f>$C20-AB20</f>
        <v>74973</v>
      </c>
      <c r="AD20" s="22">
        <f>IF(ISERR(AB20/$C20),0,AB20/$C20)</f>
        <v>0.74147241379310347</v>
      </c>
      <c r="AE20" s="63">
        <f>SUM(AE16:AE19)</f>
        <v>147647</v>
      </c>
      <c r="AF20" s="24">
        <f>$C20-AE20</f>
        <v>142353</v>
      </c>
      <c r="AG20" s="22">
        <f>IF(ISERR(AE20/$C20),0,AE20/$C20)</f>
        <v>0.50912758620689658</v>
      </c>
      <c r="AH20" s="63">
        <f>SUM(AH16:AH19)</f>
        <v>122353</v>
      </c>
      <c r="AI20" s="24">
        <f>$C20-AH20</f>
        <v>167647</v>
      </c>
      <c r="AJ20" s="22">
        <f>IF(ISERR(AH20/$C20),0,AH20/$C20)</f>
        <v>0.42190689655172414</v>
      </c>
      <c r="AK20" s="63">
        <f>SUM(AK16:AK19)</f>
        <v>122353</v>
      </c>
      <c r="AL20" s="24">
        <f>$C20-AK20</f>
        <v>167647</v>
      </c>
      <c r="AM20" s="22">
        <f>IF(ISERR(AK20/$C20),0,AK20/$C20)</f>
        <v>0.42190689655172414</v>
      </c>
      <c r="AN20" s="63">
        <f>SUM(AN16:AN19)</f>
        <v>121587</v>
      </c>
      <c r="AO20" s="24">
        <f>$C20-AN20</f>
        <v>168413</v>
      </c>
      <c r="AP20" s="22">
        <f>IF(ISERR(AN20/$C20),0,AN20/$C20)</f>
        <v>0.41926551724137934</v>
      </c>
      <c r="AQ20" s="63">
        <f>SUM(AQ16:AQ19)</f>
        <v>121335</v>
      </c>
      <c r="AR20" s="24">
        <f>$C20-AQ20</f>
        <v>168665</v>
      </c>
      <c r="AS20" s="22">
        <f>IF(ISERR(AQ20/$C20),0,AQ20/$C20)</f>
        <v>0.41839655172413792</v>
      </c>
    </row>
    <row r="21" spans="1:45" x14ac:dyDescent="0.4">
      <c r="A21" s="66"/>
      <c r="B21" s="60" t="s">
        <v>42</v>
      </c>
      <c r="C21" s="63">
        <v>150000</v>
      </c>
      <c r="D21" s="24">
        <f t="shared" si="13"/>
        <v>150000</v>
      </c>
      <c r="E21" s="24">
        <f t="shared" si="28"/>
        <v>0</v>
      </c>
      <c r="F21" s="22">
        <f t="shared" si="0"/>
        <v>1</v>
      </c>
      <c r="G21" s="24">
        <f t="shared" si="15"/>
        <v>1050000</v>
      </c>
      <c r="H21" s="41"/>
      <c r="I21" s="43"/>
      <c r="J21" s="24">
        <f>SUMIF(消費01!$D$3:$D$259,'2025年予実'!$B21,消費01!$C$3:$C$259)</f>
        <v>150000</v>
      </c>
      <c r="K21" s="24">
        <f t="shared" si="27"/>
        <v>0</v>
      </c>
      <c r="L21" s="22">
        <f t="shared" si="29"/>
        <v>1</v>
      </c>
      <c r="M21" s="24">
        <f>SUMIF(消費02!$D$3:$D$287,'2025年予実'!$B21,消費02!$C$3:$C$287)</f>
        <v>150000</v>
      </c>
      <c r="N21" s="24">
        <f t="shared" si="30"/>
        <v>0</v>
      </c>
      <c r="O21" s="22">
        <f t="shared" si="31"/>
        <v>1</v>
      </c>
      <c r="P21" s="24">
        <f>SUMIF(消費03!$D$3:$D$308,'2025年予実'!$B21,消費03!$C$3:$C$308)</f>
        <v>150000</v>
      </c>
      <c r="Q21" s="24">
        <f t="shared" si="32"/>
        <v>0</v>
      </c>
      <c r="R21" s="22">
        <f t="shared" si="33"/>
        <v>1</v>
      </c>
      <c r="S21" s="24">
        <f>SUMIF(消費04!$D$3:$D$316,'2025年予実'!$B21,消費04!$C$3:$C$316)</f>
        <v>150000</v>
      </c>
      <c r="T21" s="24">
        <f t="shared" si="34"/>
        <v>0</v>
      </c>
      <c r="U21" s="22">
        <f t="shared" si="35"/>
        <v>1</v>
      </c>
      <c r="V21" s="24">
        <f>SUMIF(消費05!$D$3:$D$339,'2025年予実'!$B21,消費05!$C$3:$C$339)</f>
        <v>150000</v>
      </c>
      <c r="W21" s="24">
        <f t="shared" si="36"/>
        <v>0</v>
      </c>
      <c r="X21" s="22">
        <f t="shared" si="37"/>
        <v>1</v>
      </c>
      <c r="Y21" s="24">
        <f>SUMIF(消費06!$D$3:$D$303,'2025年予実'!$B21,消費06!$C$3:$C$303)</f>
        <v>150000</v>
      </c>
      <c r="Z21" s="24">
        <f t="shared" si="38"/>
        <v>0</v>
      </c>
      <c r="AA21" s="22">
        <f t="shared" si="39"/>
        <v>1</v>
      </c>
      <c r="AB21" s="24">
        <f>SUMIF(消費07!$D$3:$D$303,'2025年予実'!$B21,消費07!$C$3:$C$303)</f>
        <v>150000</v>
      </c>
      <c r="AC21" s="24">
        <f t="shared" si="40"/>
        <v>0</v>
      </c>
      <c r="AD21" s="22">
        <f t="shared" si="41"/>
        <v>1</v>
      </c>
      <c r="AE21" s="24">
        <f>SUMIF(消費08!$D$3:$D$327,'2025年予実'!$B21,消費08!$C$3:$C$327)</f>
        <v>150000</v>
      </c>
      <c r="AF21" s="24">
        <f t="shared" si="42"/>
        <v>0</v>
      </c>
      <c r="AG21" s="22">
        <f t="shared" si="43"/>
        <v>1</v>
      </c>
      <c r="AH21" s="24">
        <f>SUMIF(消費09!$D$3:$D$317,'2025年予実'!$B21,消費09!$C$3:$C$317)</f>
        <v>150000</v>
      </c>
      <c r="AI21" s="24">
        <f t="shared" si="44"/>
        <v>0</v>
      </c>
      <c r="AJ21" s="22">
        <f t="shared" si="45"/>
        <v>1</v>
      </c>
      <c r="AK21" s="24">
        <f>SUMIF(消費10!$D$3:$D$332,'2025年予実'!$B21,消費10!$C$3:$C$332)</f>
        <v>150000</v>
      </c>
      <c r="AL21" s="24">
        <f t="shared" ref="AL21" si="54">$C21-AK21</f>
        <v>0</v>
      </c>
      <c r="AM21" s="22">
        <f t="shared" si="47"/>
        <v>1</v>
      </c>
      <c r="AN21" s="24">
        <f>SUMIF(消費11!$D$3:$D$327,'2025年予実'!$B21,消費11!$C$3:$C$327)</f>
        <v>150000</v>
      </c>
      <c r="AO21" s="24">
        <f t="shared" ref="AO21" si="55">$C21-AN21</f>
        <v>0</v>
      </c>
      <c r="AP21" s="22">
        <f t="shared" si="49"/>
        <v>1</v>
      </c>
      <c r="AQ21" s="24">
        <f>SUMIF(消費12!$D$3:$D$320,'2025年予実'!$B21,消費12!$C$3:$C$320)</f>
        <v>150000</v>
      </c>
      <c r="AR21" s="24">
        <f t="shared" ref="AR21" si="56">$C21-AQ21</f>
        <v>0</v>
      </c>
      <c r="AS21" s="22">
        <f t="shared" si="51"/>
        <v>1</v>
      </c>
    </row>
    <row r="22" spans="1:45" x14ac:dyDescent="0.4">
      <c r="A22" s="70"/>
      <c r="B22" s="71" t="s">
        <v>64</v>
      </c>
      <c r="C22" s="24">
        <f>C5-C20-C21</f>
        <v>20000</v>
      </c>
      <c r="D22" s="24">
        <f t="shared" si="13"/>
        <v>220053.57142857142</v>
      </c>
      <c r="E22" s="41"/>
      <c r="F22" s="43"/>
      <c r="G22" s="24">
        <f t="shared" si="15"/>
        <v>1540375</v>
      </c>
      <c r="H22" s="41"/>
      <c r="I22" s="43"/>
      <c r="J22" s="24">
        <f>J5-J20-J21</f>
        <v>361549</v>
      </c>
      <c r="K22" s="41"/>
      <c r="L22" s="26"/>
      <c r="M22" s="24">
        <f>M5-M20-M21</f>
        <v>200505</v>
      </c>
      <c r="N22" s="41"/>
      <c r="O22" s="26"/>
      <c r="P22" s="24">
        <f>P5-P20-P21</f>
        <v>185241</v>
      </c>
      <c r="Q22" s="41"/>
      <c r="R22" s="26"/>
      <c r="S22" s="24">
        <f>S5-S20-S21</f>
        <v>165910</v>
      </c>
      <c r="T22" s="41"/>
      <c r="U22" s="26"/>
      <c r="V22" s="24">
        <f>V5-V20-V21</f>
        <v>350159</v>
      </c>
      <c r="W22" s="41"/>
      <c r="X22" s="26"/>
      <c r="Y22" s="24">
        <f>Y5-Y20-Y21</f>
        <v>123134</v>
      </c>
      <c r="Z22" s="41"/>
      <c r="AA22" s="26"/>
      <c r="AB22" s="24">
        <f>AB5-AB20-AB21</f>
        <v>153877</v>
      </c>
      <c r="AC22" s="41"/>
      <c r="AD22" s="26"/>
      <c r="AE22" s="24">
        <f>AE5-AE20-AE21</f>
        <v>255284</v>
      </c>
      <c r="AF22" s="41"/>
      <c r="AG22" s="26"/>
      <c r="AH22" s="24">
        <f>AH5-AH20-AH21</f>
        <v>-232353</v>
      </c>
      <c r="AI22" s="41"/>
      <c r="AJ22" s="26"/>
      <c r="AK22" s="24">
        <f>AK5-AK20-AK21</f>
        <v>-232353</v>
      </c>
      <c r="AL22" s="41"/>
      <c r="AM22" s="26"/>
      <c r="AN22" s="24">
        <f>AN5-AN20-AN21</f>
        <v>-231587</v>
      </c>
      <c r="AO22" s="41"/>
      <c r="AP22" s="26"/>
      <c r="AQ22" s="24">
        <f>AQ5-AQ20-AQ21</f>
        <v>-231335</v>
      </c>
      <c r="AR22" s="41"/>
      <c r="AS22" s="26"/>
    </row>
    <row r="24" spans="1:45" x14ac:dyDescent="0.4">
      <c r="A24" t="s">
        <v>39</v>
      </c>
      <c r="C24"/>
      <c r="D24"/>
    </row>
    <row r="25" spans="1:45" x14ac:dyDescent="0.4">
      <c r="A25" s="268" t="s">
        <v>32</v>
      </c>
      <c r="B25" s="268"/>
      <c r="C25" s="6" t="s">
        <v>116</v>
      </c>
      <c r="D25" s="6" t="s">
        <v>117</v>
      </c>
      <c r="E25" s="23" t="s">
        <v>152</v>
      </c>
      <c r="F25" s="23" t="s">
        <v>153</v>
      </c>
    </row>
    <row r="26" spans="1:45" x14ac:dyDescent="0.4">
      <c r="A26" s="266" t="s">
        <v>30</v>
      </c>
      <c r="B26" s="7" t="s">
        <v>49</v>
      </c>
      <c r="C26" s="40">
        <f>C3*12/10000</f>
        <v>552</v>
      </c>
      <c r="D26" s="40">
        <f>G3/10000</f>
        <v>421.56400000000002</v>
      </c>
      <c r="E26" s="24">
        <f>D26-C26</f>
        <v>-130.43599999999998</v>
      </c>
      <c r="F26" s="22">
        <f t="shared" ref="F26:F42" si="57">IF(ISERR(D26/C26),0,D26/C26)</f>
        <v>0.76370289855072471</v>
      </c>
    </row>
    <row r="27" spans="1:45" x14ac:dyDescent="0.4">
      <c r="A27" s="266"/>
      <c r="B27" s="7" t="s">
        <v>37</v>
      </c>
      <c r="C27" s="40">
        <f>C4*12/10000</f>
        <v>0</v>
      </c>
      <c r="D27" s="40">
        <f>G4/10000</f>
        <v>16</v>
      </c>
      <c r="E27" s="24">
        <f>D27-C27</f>
        <v>16</v>
      </c>
      <c r="F27" s="22">
        <f t="shared" si="57"/>
        <v>0</v>
      </c>
    </row>
    <row r="28" spans="1:45" x14ac:dyDescent="0.4">
      <c r="A28" s="267" t="s">
        <v>23</v>
      </c>
      <c r="B28" s="8" t="s">
        <v>58</v>
      </c>
      <c r="C28" s="40">
        <f t="shared" ref="C28:C41" si="58">C6*12/10000</f>
        <v>18</v>
      </c>
      <c r="D28" s="40">
        <f t="shared" ref="D28:D41" si="59">G6/10000</f>
        <v>10.2843</v>
      </c>
      <c r="E28" s="24">
        <f t="shared" ref="E28:E42" si="60">C28-D28</f>
        <v>7.7157</v>
      </c>
      <c r="F28" s="22">
        <f t="shared" si="57"/>
        <v>0.57135000000000002</v>
      </c>
    </row>
    <row r="29" spans="1:45" x14ac:dyDescent="0.4">
      <c r="A29" s="267"/>
      <c r="B29" s="8" t="s">
        <v>20</v>
      </c>
      <c r="C29" s="40">
        <f t="shared" si="58"/>
        <v>30</v>
      </c>
      <c r="D29" s="40">
        <f t="shared" si="59"/>
        <v>12.4725</v>
      </c>
      <c r="E29" s="24">
        <f t="shared" si="60"/>
        <v>17.5275</v>
      </c>
      <c r="F29" s="22">
        <f t="shared" si="57"/>
        <v>0.41575000000000001</v>
      </c>
    </row>
    <row r="30" spans="1:45" x14ac:dyDescent="0.4">
      <c r="A30" s="267"/>
      <c r="B30" s="8" t="s">
        <v>57</v>
      </c>
      <c r="C30" s="40">
        <f t="shared" si="58"/>
        <v>8.4</v>
      </c>
      <c r="D30" s="40">
        <f t="shared" si="59"/>
        <v>4.0957999999999997</v>
      </c>
      <c r="E30" s="24">
        <f t="shared" si="60"/>
        <v>4.3042000000000007</v>
      </c>
      <c r="F30" s="22">
        <f t="shared" si="57"/>
        <v>0.48759523809523803</v>
      </c>
    </row>
    <row r="31" spans="1:45" x14ac:dyDescent="0.4">
      <c r="A31" s="267"/>
      <c r="B31" s="8" t="s">
        <v>68</v>
      </c>
      <c r="C31" s="40">
        <f t="shared" si="58"/>
        <v>12</v>
      </c>
      <c r="D31" s="40">
        <f t="shared" si="59"/>
        <v>5.5007000000000001</v>
      </c>
      <c r="E31" s="24">
        <f t="shared" si="60"/>
        <v>6.4992999999999999</v>
      </c>
      <c r="F31" s="22">
        <f t="shared" si="57"/>
        <v>0.4583916666666667</v>
      </c>
    </row>
    <row r="32" spans="1:45" x14ac:dyDescent="0.4">
      <c r="A32" s="267"/>
      <c r="B32" s="8" t="s">
        <v>46</v>
      </c>
      <c r="C32" s="40">
        <f t="shared" si="58"/>
        <v>72</v>
      </c>
      <c r="D32" s="40">
        <f t="shared" si="59"/>
        <v>36.341099999999997</v>
      </c>
      <c r="E32" s="24">
        <f t="shared" si="60"/>
        <v>35.658900000000003</v>
      </c>
      <c r="F32" s="22">
        <f t="shared" si="57"/>
        <v>0.50473749999999995</v>
      </c>
    </row>
    <row r="33" spans="1:6" x14ac:dyDescent="0.4">
      <c r="A33" s="267"/>
      <c r="B33" s="8" t="s">
        <v>29</v>
      </c>
      <c r="C33" s="40">
        <f t="shared" si="58"/>
        <v>28.8</v>
      </c>
      <c r="D33" s="40">
        <f t="shared" si="59"/>
        <v>10.907400000000001</v>
      </c>
      <c r="E33" s="24">
        <f t="shared" si="60"/>
        <v>17.892600000000002</v>
      </c>
      <c r="F33" s="22">
        <f t="shared" si="57"/>
        <v>0.37872916666666667</v>
      </c>
    </row>
    <row r="34" spans="1:6" x14ac:dyDescent="0.4">
      <c r="A34" s="267"/>
      <c r="B34" s="8" t="s">
        <v>48</v>
      </c>
      <c r="C34" s="40">
        <f t="shared" si="58"/>
        <v>8.4</v>
      </c>
      <c r="D34" s="40">
        <f t="shared" si="59"/>
        <v>2.5931000000000002</v>
      </c>
      <c r="E34" s="24">
        <f t="shared" si="60"/>
        <v>5.8069000000000006</v>
      </c>
      <c r="F34" s="22">
        <f t="shared" si="57"/>
        <v>0.30870238095238095</v>
      </c>
    </row>
    <row r="35" spans="1:6" x14ac:dyDescent="0.4">
      <c r="A35" s="267"/>
      <c r="B35" s="8" t="s">
        <v>22</v>
      </c>
      <c r="C35" s="40">
        <f t="shared" si="58"/>
        <v>0</v>
      </c>
      <c r="D35" s="40">
        <f t="shared" si="59"/>
        <v>0</v>
      </c>
      <c r="E35" s="24">
        <f t="shared" si="60"/>
        <v>0</v>
      </c>
      <c r="F35" s="22">
        <f t="shared" si="57"/>
        <v>0</v>
      </c>
    </row>
    <row r="36" spans="1:6" x14ac:dyDescent="0.4">
      <c r="A36" s="267"/>
      <c r="B36" s="8" t="s">
        <v>151</v>
      </c>
      <c r="C36" s="40">
        <f t="shared" si="58"/>
        <v>120</v>
      </c>
      <c r="D36" s="40">
        <f t="shared" si="59"/>
        <v>70</v>
      </c>
      <c r="E36" s="24">
        <f t="shared" si="60"/>
        <v>50</v>
      </c>
      <c r="F36" s="22">
        <f t="shared" si="57"/>
        <v>0.58333333333333337</v>
      </c>
    </row>
    <row r="37" spans="1:6" x14ac:dyDescent="0.4">
      <c r="A37" s="267"/>
      <c r="B37" s="8" t="s">
        <v>96</v>
      </c>
      <c r="C37" s="40">
        <f t="shared" si="58"/>
        <v>3.6</v>
      </c>
      <c r="D37" s="40">
        <f t="shared" si="59"/>
        <v>0.52</v>
      </c>
      <c r="E37" s="24">
        <f t="shared" si="60"/>
        <v>3.08</v>
      </c>
      <c r="F37" s="22">
        <f t="shared" si="57"/>
        <v>0.14444444444444446</v>
      </c>
    </row>
    <row r="38" spans="1:6" x14ac:dyDescent="0.4">
      <c r="A38" s="267"/>
      <c r="B38" s="11" t="s">
        <v>44</v>
      </c>
      <c r="C38" s="40">
        <f t="shared" si="58"/>
        <v>301.2</v>
      </c>
      <c r="D38" s="40">
        <f t="shared" si="59"/>
        <v>152.7149</v>
      </c>
      <c r="E38" s="24">
        <f t="shared" si="60"/>
        <v>148.48509999999999</v>
      </c>
      <c r="F38" s="22">
        <f t="shared" si="57"/>
        <v>0.50702158034528555</v>
      </c>
    </row>
    <row r="39" spans="1:6" x14ac:dyDescent="0.4">
      <c r="A39" s="225" t="s">
        <v>36</v>
      </c>
      <c r="B39" s="10" t="s">
        <v>33</v>
      </c>
      <c r="C39" s="40">
        <f t="shared" si="58"/>
        <v>24</v>
      </c>
      <c r="D39" s="40">
        <f t="shared" si="59"/>
        <v>10.589600000000001</v>
      </c>
      <c r="E39" s="24">
        <f t="shared" si="60"/>
        <v>13.410399999999999</v>
      </c>
      <c r="F39" s="22">
        <f t="shared" si="57"/>
        <v>0.44123333333333337</v>
      </c>
    </row>
    <row r="40" spans="1:6" x14ac:dyDescent="0.4">
      <c r="A40" s="225"/>
      <c r="B40" s="10" t="s">
        <v>24</v>
      </c>
      <c r="C40" s="40">
        <f t="shared" si="58"/>
        <v>7.2</v>
      </c>
      <c r="D40" s="40">
        <f t="shared" si="59"/>
        <v>6.577</v>
      </c>
      <c r="E40" s="24">
        <f t="shared" si="60"/>
        <v>0.62300000000000022</v>
      </c>
      <c r="F40" s="22">
        <f t="shared" si="57"/>
        <v>0.91347222222222224</v>
      </c>
    </row>
    <row r="41" spans="1:6" x14ac:dyDescent="0.4">
      <c r="A41" s="225"/>
      <c r="B41" s="10" t="s">
        <v>25</v>
      </c>
      <c r="C41" s="40">
        <f t="shared" si="58"/>
        <v>15.6</v>
      </c>
      <c r="D41" s="40">
        <f t="shared" si="59"/>
        <v>8.6449999999999996</v>
      </c>
      <c r="E41" s="24">
        <f t="shared" si="60"/>
        <v>6.9550000000000001</v>
      </c>
      <c r="F41" s="22">
        <f t="shared" si="57"/>
        <v>0.5541666666666667</v>
      </c>
    </row>
    <row r="42" spans="1:6" x14ac:dyDescent="0.4">
      <c r="A42" s="255" t="s">
        <v>42</v>
      </c>
      <c r="B42" s="255"/>
      <c r="C42" s="40">
        <f t="shared" ref="C42" si="61">C21*12/10000</f>
        <v>180</v>
      </c>
      <c r="D42" s="40">
        <f>G21/10000</f>
        <v>105</v>
      </c>
      <c r="E42" s="24">
        <f t="shared" si="60"/>
        <v>75</v>
      </c>
      <c r="F42" s="22">
        <f t="shared" si="57"/>
        <v>0.58333333333333337</v>
      </c>
    </row>
  </sheetData>
  <mergeCells count="24">
    <mergeCell ref="M1:O1"/>
    <mergeCell ref="A42:B42"/>
    <mergeCell ref="J1:L1"/>
    <mergeCell ref="A17:A19"/>
    <mergeCell ref="A3:A5"/>
    <mergeCell ref="A1:C1"/>
    <mergeCell ref="D1:F1"/>
    <mergeCell ref="A2:B2"/>
    <mergeCell ref="A6:A16"/>
    <mergeCell ref="G1:I1"/>
    <mergeCell ref="A26:A27"/>
    <mergeCell ref="A28:A38"/>
    <mergeCell ref="A39:A41"/>
    <mergeCell ref="A25:B25"/>
    <mergeCell ref="P1:R1"/>
    <mergeCell ref="AE1:AG1"/>
    <mergeCell ref="AB1:AD1"/>
    <mergeCell ref="AN1:AP1"/>
    <mergeCell ref="AK1:AM1"/>
    <mergeCell ref="AQ1:AS1"/>
    <mergeCell ref="AH1:AJ1"/>
    <mergeCell ref="Y1:AA1"/>
    <mergeCell ref="V1:X1"/>
    <mergeCell ref="S1:U1"/>
  </mergeCells>
  <phoneticPr fontId="1"/>
  <conditionalFormatting sqref="F3:F5">
    <cfRule type="dataBar" priority="3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{33DCDF85-9806-4ADA-B1A2-16BFACF4EA79}</x14:id>
        </ext>
      </extLst>
    </cfRule>
    <cfRule type="dataBar" priority="3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{CD2831A4-3B99-41C9-834A-89400B6FD05C}</x14:id>
        </ext>
      </extLst>
    </cfRule>
    <cfRule type="cellIs" dxfId="12" priority="312" operator="greaterThan">
      <formula>1</formula>
    </cfRule>
  </conditionalFormatting>
  <conditionalFormatting sqref="F6:F21">
    <cfRule type="dataBar" priority="32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{73A14778-DABB-43EC-90EF-FBBC65687347}</x14:id>
        </ext>
      </extLst>
    </cfRule>
  </conditionalFormatting>
  <conditionalFormatting sqref="F26:F27">
    <cfRule type="dataBar" priority="1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{1CD8A923-44BF-4EE9-B116-167EDF9755FB}</x14:id>
        </ext>
      </extLst>
    </cfRule>
  </conditionalFormatting>
  <conditionalFormatting sqref="F28:F42">
    <cfRule type="dataBar" priority="3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{6DFB3307-4E9B-49DF-9321-CAD96775D5FB}</x14:id>
        </ext>
      </extLst>
    </cfRule>
  </conditionalFormatting>
  <conditionalFormatting sqref="I3:I5">
    <cfRule type="dataBar" priority="25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{ED98BD0A-044E-4E7E-8A61-1AAF352264FA}</x14:id>
        </ext>
      </extLst>
    </cfRule>
    <cfRule type="dataBar" priority="2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{A6559481-8195-4B39-9976-D75200C6C773}</x14:id>
        </ext>
      </extLst>
    </cfRule>
    <cfRule type="cellIs" dxfId="11" priority="248" operator="greaterThan">
      <formula>1</formula>
    </cfRule>
  </conditionalFormatting>
  <conditionalFormatting sqref="I6:I21">
    <cfRule type="dataBar" priority="3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{2F9D41B6-B3CA-4A33-BDB5-C128CD37DF76}</x14:id>
        </ext>
      </extLst>
    </cfRule>
  </conditionalFormatting>
  <conditionalFormatting sqref="L3:L5">
    <cfRule type="dataBar" priority="1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{D90A5990-F82F-4BE5-ABAF-4498616D3464}</x14:id>
        </ext>
      </extLst>
    </cfRule>
    <cfRule type="dataBar" priority="18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{516E34F3-4451-4904-98E4-6DD96814A8EE}</x14:id>
        </ext>
      </extLst>
    </cfRule>
    <cfRule type="cellIs" dxfId="10" priority="182" operator="greaterThan">
      <formula>1</formula>
    </cfRule>
  </conditionalFormatting>
  <conditionalFormatting sqref="L6:L10 L12:L17 L19 L21">
    <cfRule type="dataBar" priority="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{9C75FE6B-3BE2-4FDF-986F-AC20BEAE61DE}</x14:id>
        </ext>
      </extLst>
    </cfRule>
  </conditionalFormatting>
  <conditionalFormatting sqref="L11">
    <cfRule type="dataBar" priority="1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{15061EE5-5CCC-4FB4-A7D7-F9E33FE6C961}</x14:id>
        </ext>
      </extLst>
    </cfRule>
  </conditionalFormatting>
  <conditionalFormatting sqref="L18">
    <cfRule type="dataBar" priority="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{0BFD30D2-A394-484A-A8F9-A6E932B5E608}</x14:id>
        </ext>
      </extLst>
    </cfRule>
  </conditionalFormatting>
  <conditionalFormatting sqref="L20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{26D797C3-612F-48B7-A176-ACE2FCE5FDD7}</x14:id>
        </ext>
      </extLst>
    </cfRule>
  </conditionalFormatting>
  <conditionalFormatting sqref="O3:O5">
    <cfRule type="dataBar" priority="7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{0BDEF388-5F70-4440-849F-C228920BC9CE}</x14:id>
        </ext>
      </extLst>
    </cfRule>
    <cfRule type="dataBar" priority="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{7FADABE7-12F2-4817-B405-24A88CF14C28}</x14:id>
        </ext>
      </extLst>
    </cfRule>
    <cfRule type="cellIs" dxfId="9" priority="70" operator="greaterThan">
      <formula>1</formula>
    </cfRule>
  </conditionalFormatting>
  <conditionalFormatting sqref="O6:O7 O9:O21">
    <cfRule type="dataBar" priority="3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{8E37C318-9A52-4A32-A0A0-54624F66A27B}</x14:id>
        </ext>
      </extLst>
    </cfRule>
  </conditionalFormatting>
  <conditionalFormatting sqref="O8"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{02E2DAB7-8005-4620-99E3-C4E153BFE85C}</x14:id>
        </ext>
      </extLst>
    </cfRule>
  </conditionalFormatting>
  <conditionalFormatting sqref="R3:R5">
    <cfRule type="cellIs" dxfId="8" priority="61" operator="greaterThan">
      <formula>1</formula>
    </cfRule>
    <cfRule type="dataBar" priority="6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{63DD30D5-33F2-48EB-8B63-652C939BCB03}</x14:id>
        </ext>
      </extLst>
    </cfRule>
    <cfRule type="dataBar" priority="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{8BCD1CA9-8E00-4476-9A75-CBACF4FD1743}</x14:id>
        </ext>
      </extLst>
    </cfRule>
  </conditionalFormatting>
  <conditionalFormatting sqref="R6">
    <cfRule type="dataBar" priority="1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{C04A07C2-7F1F-4A54-8C62-2C84B9C50E3C}</x14:id>
        </ext>
      </extLst>
    </cfRule>
  </conditionalFormatting>
  <conditionalFormatting sqref="R7:R16 R18:R21">
    <cfRule type="dataBar" priority="33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{73B20DB0-0BA0-467C-B323-74BC40FB9756}</x14:id>
        </ext>
      </extLst>
    </cfRule>
  </conditionalFormatting>
  <conditionalFormatting sqref="R17"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{AA8CCB04-494E-41E5-ABF9-335AB246E2E5}</x14:id>
        </ext>
      </extLst>
    </cfRule>
  </conditionalFormatting>
  <conditionalFormatting sqref="U3:U5">
    <cfRule type="cellIs" dxfId="7" priority="57" operator="greaterThan">
      <formula>1</formula>
    </cfRule>
    <cfRule type="dataBar" priority="5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{C54CE50C-1BF5-45BF-8800-415B2558E2FF}</x14:id>
        </ext>
      </extLst>
    </cfRule>
    <cfRule type="dataBar" priority="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{8B6DDD57-2EB1-40E3-9980-C3E962120B8D}</x14:id>
        </ext>
      </extLst>
    </cfRule>
  </conditionalFormatting>
  <conditionalFormatting sqref="U7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{32DAC171-EDAB-4EA1-851B-7A0B51149211}</x14:id>
        </ext>
      </extLst>
    </cfRule>
  </conditionalFormatting>
  <conditionalFormatting sqref="U8:U13 U6">
    <cfRule type="dataBar" priority="3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{06494AD6-0F8E-4A03-AE7F-1010869558C6}</x14:id>
        </ext>
      </extLst>
    </cfRule>
  </conditionalFormatting>
  <conditionalFormatting sqref="U14:U21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{1A7F0D80-B540-4433-9B14-F27D6FCA5B5A}</x14:id>
        </ext>
      </extLst>
    </cfRule>
  </conditionalFormatting>
  <conditionalFormatting sqref="X3:X5">
    <cfRule type="cellIs" dxfId="6" priority="53" operator="greaterThan">
      <formula>1</formula>
    </cfRule>
    <cfRule type="dataBar" priority="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{39148575-7B65-4424-924A-0AA72866127F}</x14:id>
        </ext>
      </extLst>
    </cfRule>
    <cfRule type="dataBar" priority="5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{497FFEC3-A3C0-4ED4-8C92-1AF6D2ABE04F}</x14:id>
        </ext>
      </extLst>
    </cfRule>
  </conditionalFormatting>
  <conditionalFormatting sqref="X6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{FD004A6C-E3D6-43E1-BEF7-410A4FBA367D}</x14:id>
        </ext>
      </extLst>
    </cfRule>
  </conditionalFormatting>
  <conditionalFormatting sqref="X8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{5A0D3A79-4455-4ED9-9B6F-8B992E33D6D1}</x14:id>
        </ext>
      </extLst>
    </cfRule>
  </conditionalFormatting>
  <conditionalFormatting sqref="X9:X21 X7">
    <cfRule type="dataBar" priority="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{CF971289-A4D8-4ABE-B523-B961C28301FF}</x14:id>
        </ext>
      </extLst>
    </cfRule>
  </conditionalFormatting>
  <conditionalFormatting sqref="AA3:AA5">
    <cfRule type="dataBar" priority="5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{E11F4CCB-053C-4BAE-B8B9-CC1852493396}</x14:id>
        </ext>
      </extLst>
    </cfRule>
    <cfRule type="cellIs" dxfId="5" priority="49" operator="greaterThan">
      <formula>1</formula>
    </cfRule>
    <cfRule type="dataBar" priority="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{673E76FA-9711-42BE-9FC9-90A5925E7ACF}</x14:id>
        </ext>
      </extLst>
    </cfRule>
  </conditionalFormatting>
  <conditionalFormatting sqref="AA6:AA21">
    <cfRule type="dataBar" priority="33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{62AB9969-E4A2-4339-B331-05FA906F0DF8}</x14:id>
        </ext>
      </extLst>
    </cfRule>
  </conditionalFormatting>
  <conditionalFormatting sqref="AD3:AD5">
    <cfRule type="dataBar" priority="4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{CE8BE6CB-6B21-4E67-B84E-F6E4C2E3B65F}</x14:id>
        </ext>
      </extLst>
    </cfRule>
    <cfRule type="dataBar" priority="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{C7F82535-908D-4B3D-9062-F13001B4B0CE}</x14:id>
        </ext>
      </extLst>
    </cfRule>
    <cfRule type="cellIs" dxfId="4" priority="43" operator="greaterThan">
      <formula>1</formula>
    </cfRule>
  </conditionalFormatting>
  <conditionalFormatting sqref="AD6:AD7 AD9:AD21">
    <cfRule type="dataBar" priority="34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{23F3F874-1B1E-440E-A889-C1FB8095868A}</x14:id>
        </ext>
      </extLst>
    </cfRule>
  </conditionalFormatting>
  <conditionalFormatting sqref="AD8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{9BFF4455-628F-4EA7-873F-EF54B62E45E5}</x14:id>
        </ext>
      </extLst>
    </cfRule>
  </conditionalFormatting>
  <conditionalFormatting sqref="AG3:AG5 AJ3:AJ5">
    <cfRule type="dataBar" priority="4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{1C5B959D-D8E2-4FEB-9A2A-42A9F7017EF4}</x14:id>
        </ext>
      </extLst>
    </cfRule>
    <cfRule type="dataBar" priority="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{214C6268-9C83-4366-AE9E-8F5DBFDB935C}</x14:id>
        </ext>
      </extLst>
    </cfRule>
    <cfRule type="cellIs" dxfId="3" priority="39" operator="greaterThan">
      <formula>1</formula>
    </cfRule>
  </conditionalFormatting>
  <conditionalFormatting sqref="AG6:AG21 AJ6:AJ21">
    <cfRule type="dataBar" priority="34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{85B1B6C7-DE51-4E54-97B3-23B125CF5884}</x14:id>
        </ext>
      </extLst>
    </cfRule>
  </conditionalFormatting>
  <conditionalFormatting sqref="AM3:AM5">
    <cfRule type="cellIs" dxfId="2" priority="34" operator="greaterThan">
      <formula>1</formula>
    </cfRule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{E7A41485-492A-4002-9AED-91D17066A15D}</x14:id>
        </ext>
      </extLst>
    </cfRule>
    <cfRule type="dataBar" priority="3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{B6C7DEC9-C37F-4D89-B91A-96F91A23040C}</x14:id>
        </ext>
      </extLst>
    </cfRule>
  </conditionalFormatting>
  <conditionalFormatting sqref="AM6:AM21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{3F5B0286-2D0A-40A7-B708-6C0B3783F230}</x14:id>
        </ext>
      </extLst>
    </cfRule>
  </conditionalFormatting>
  <conditionalFormatting sqref="AP3:AP5"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{18917924-6BFF-4D69-AC19-E071BD7B1065}</x14:id>
        </ext>
      </extLst>
    </cfRule>
    <cfRule type="cellIs" dxfId="1" priority="30" operator="greaterThan">
      <formula>1</formula>
    </cfRule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{8884844F-3507-42D1-BF10-757883CBFDBC}</x14:id>
        </ext>
      </extLst>
    </cfRule>
  </conditionalFormatting>
  <conditionalFormatting sqref="AP6:AP21">
    <cfRule type="dataBar" priority="1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{9015D34E-47FE-42D0-8ED1-B3CC46BCF25D}</x14:id>
        </ext>
      </extLst>
    </cfRule>
  </conditionalFormatting>
  <conditionalFormatting sqref="AS3:AS5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{10BCFA25-F5B9-44E7-9E52-432C1A26B235}</x14:id>
        </ext>
      </extLst>
    </cfRule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{9FE59544-9C91-4C47-AB5A-B2BF3A20F431}</x14:id>
        </ext>
      </extLst>
    </cfRule>
    <cfRule type="cellIs" dxfId="0" priority="24" operator="greaterThan">
      <formula>1</formula>
    </cfRule>
  </conditionalFormatting>
  <conditionalFormatting sqref="AS6:AS21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{79A8BC13-2D5B-4487-BB9F-BD1AB83BD910}</x14:id>
        </ext>
      </extLst>
    </cfRule>
  </conditionalFormatting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3DCDF85-9806-4ADA-B1A2-16BFACF4EA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2831A4-3B99-41C9-834A-89400B6FD0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F3:F5</xm:sqref>
        </x14:conditionalFormatting>
        <x14:conditionalFormatting xmlns:xm="http://schemas.microsoft.com/office/excel/2006/main">
          <x14:cfRule type="dataBar" id="{73A14778-DABB-43EC-90EF-FBBC656873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F6:F21</xm:sqref>
        </x14:conditionalFormatting>
        <x14:conditionalFormatting xmlns:xm="http://schemas.microsoft.com/office/excel/2006/main">
          <x14:cfRule type="dataBar" id="{1CD8A923-44BF-4EE9-B116-167EDF9755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F26:F27</xm:sqref>
        </x14:conditionalFormatting>
        <x14:conditionalFormatting xmlns:xm="http://schemas.microsoft.com/office/excel/2006/main">
          <x14:cfRule type="dataBar" id="{6DFB3307-4E9B-49DF-9321-CAD96775D5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F28:F42</xm:sqref>
        </x14:conditionalFormatting>
        <x14:conditionalFormatting xmlns:xm="http://schemas.microsoft.com/office/excel/2006/main">
          <x14:cfRule type="dataBar" id="{ED98BD0A-044E-4E7E-8A61-1AAF352264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6559481-8195-4B39-9976-D75200C6C7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I3:I5</xm:sqref>
        </x14:conditionalFormatting>
        <x14:conditionalFormatting xmlns:xm="http://schemas.microsoft.com/office/excel/2006/main">
          <x14:cfRule type="dataBar" id="{2F9D41B6-B3CA-4A33-BDB5-C128CD37DF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I6:I21</xm:sqref>
        </x14:conditionalFormatting>
        <x14:conditionalFormatting xmlns:xm="http://schemas.microsoft.com/office/excel/2006/main">
          <x14:cfRule type="dataBar" id="{D90A5990-F82F-4BE5-ABAF-4498616D34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6E34F3-4451-4904-98E4-6DD96814A8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L3:L5</xm:sqref>
        </x14:conditionalFormatting>
        <x14:conditionalFormatting xmlns:xm="http://schemas.microsoft.com/office/excel/2006/main">
          <x14:cfRule type="dataBar" id="{9C75FE6B-3BE2-4FDF-986F-AC20BEAE61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L6:L10 L12:L17 L19 L21</xm:sqref>
        </x14:conditionalFormatting>
        <x14:conditionalFormatting xmlns:xm="http://schemas.microsoft.com/office/excel/2006/main">
          <x14:cfRule type="dataBar" id="{15061EE5-5CCC-4FB4-A7D7-F9E33FE6C9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L11</xm:sqref>
        </x14:conditionalFormatting>
        <x14:conditionalFormatting xmlns:xm="http://schemas.microsoft.com/office/excel/2006/main">
          <x14:cfRule type="dataBar" id="{0BFD30D2-A394-484A-A8F9-A6E932B5E6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L18</xm:sqref>
        </x14:conditionalFormatting>
        <x14:conditionalFormatting xmlns:xm="http://schemas.microsoft.com/office/excel/2006/main">
          <x14:cfRule type="dataBar" id="{26D797C3-612F-48B7-A176-ACE2FCE5FD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L20</xm:sqref>
        </x14:conditionalFormatting>
        <x14:conditionalFormatting xmlns:xm="http://schemas.microsoft.com/office/excel/2006/main">
          <x14:cfRule type="dataBar" id="{0BDEF388-5F70-4440-849F-C228920BC9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ADABE7-12F2-4817-B405-24A88CF14C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O3:O5</xm:sqref>
        </x14:conditionalFormatting>
        <x14:conditionalFormatting xmlns:xm="http://schemas.microsoft.com/office/excel/2006/main">
          <x14:cfRule type="dataBar" id="{8E37C318-9A52-4A32-A0A0-54624F66A2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O6:O7 O9:O21</xm:sqref>
        </x14:conditionalFormatting>
        <x14:conditionalFormatting xmlns:xm="http://schemas.microsoft.com/office/excel/2006/main">
          <x14:cfRule type="dataBar" id="{02E2DAB7-8005-4620-99E3-C4E153BFE8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O8</xm:sqref>
        </x14:conditionalFormatting>
        <x14:conditionalFormatting xmlns:xm="http://schemas.microsoft.com/office/excel/2006/main">
          <x14:cfRule type="dataBar" id="{63DD30D5-33F2-48EB-8B63-652C939BCB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CD1CA9-8E00-4476-9A75-CBACF4FD17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R3:R5</xm:sqref>
        </x14:conditionalFormatting>
        <x14:conditionalFormatting xmlns:xm="http://schemas.microsoft.com/office/excel/2006/main">
          <x14:cfRule type="dataBar" id="{C04A07C2-7F1F-4A54-8C62-2C84B9C50E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R6</xm:sqref>
        </x14:conditionalFormatting>
        <x14:conditionalFormatting xmlns:xm="http://schemas.microsoft.com/office/excel/2006/main">
          <x14:cfRule type="dataBar" id="{73B20DB0-0BA0-467C-B323-74BC40FB97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R7:R16 R18:R21</xm:sqref>
        </x14:conditionalFormatting>
        <x14:conditionalFormatting xmlns:xm="http://schemas.microsoft.com/office/excel/2006/main">
          <x14:cfRule type="dataBar" id="{AA8CCB04-494E-41E5-ABF9-335AB246E2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R17</xm:sqref>
        </x14:conditionalFormatting>
        <x14:conditionalFormatting xmlns:xm="http://schemas.microsoft.com/office/excel/2006/main">
          <x14:cfRule type="dataBar" id="{C54CE50C-1BF5-45BF-8800-415B2558E2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6DDD57-2EB1-40E3-9980-C3E962120B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U3:U5</xm:sqref>
        </x14:conditionalFormatting>
        <x14:conditionalFormatting xmlns:xm="http://schemas.microsoft.com/office/excel/2006/main">
          <x14:cfRule type="dataBar" id="{32DAC171-EDAB-4EA1-851B-7A0B511492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U7</xm:sqref>
        </x14:conditionalFormatting>
        <x14:conditionalFormatting xmlns:xm="http://schemas.microsoft.com/office/excel/2006/main">
          <x14:cfRule type="dataBar" id="{06494AD6-0F8E-4A03-AE7F-1010869558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U8:U13 U6</xm:sqref>
        </x14:conditionalFormatting>
        <x14:conditionalFormatting xmlns:xm="http://schemas.microsoft.com/office/excel/2006/main">
          <x14:cfRule type="dataBar" id="{1A7F0D80-B540-4433-9B14-F27D6FCA5B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U14:U21</xm:sqref>
        </x14:conditionalFormatting>
        <x14:conditionalFormatting xmlns:xm="http://schemas.microsoft.com/office/excel/2006/main">
          <x14:cfRule type="dataBar" id="{39148575-7B65-4424-924A-0AA7286612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7FFEC3-A3C0-4ED4-8C92-1AF6D2ABE0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X3:X5</xm:sqref>
        </x14:conditionalFormatting>
        <x14:conditionalFormatting xmlns:xm="http://schemas.microsoft.com/office/excel/2006/main">
          <x14:cfRule type="dataBar" id="{FD004A6C-E3D6-43E1-BEF7-410A4FBA36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X6</xm:sqref>
        </x14:conditionalFormatting>
        <x14:conditionalFormatting xmlns:xm="http://schemas.microsoft.com/office/excel/2006/main">
          <x14:cfRule type="dataBar" id="{5A0D3A79-4455-4ED9-9B6F-8B992E33D6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X8</xm:sqref>
        </x14:conditionalFormatting>
        <x14:conditionalFormatting xmlns:xm="http://schemas.microsoft.com/office/excel/2006/main">
          <x14:cfRule type="dataBar" id="{CF971289-A4D8-4ABE-B523-B961C28301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X9:X21 X7</xm:sqref>
        </x14:conditionalFormatting>
        <x14:conditionalFormatting xmlns:xm="http://schemas.microsoft.com/office/excel/2006/main">
          <x14:cfRule type="dataBar" id="{E11F4CCB-053C-4BAE-B8B9-CC18524933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3E76FA-9711-42BE-9FC9-90A5925E7A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AA3:AA5</xm:sqref>
        </x14:conditionalFormatting>
        <x14:conditionalFormatting xmlns:xm="http://schemas.microsoft.com/office/excel/2006/main">
          <x14:cfRule type="dataBar" id="{62AB9969-E4A2-4339-B331-05FA906F0D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AA6:AA21</xm:sqref>
        </x14:conditionalFormatting>
        <x14:conditionalFormatting xmlns:xm="http://schemas.microsoft.com/office/excel/2006/main">
          <x14:cfRule type="dataBar" id="{CE8BE6CB-6B21-4E67-B84E-F6E4C2E3B6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F82535-908D-4B3D-9062-F13001B4B0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AD3:AD5</xm:sqref>
        </x14:conditionalFormatting>
        <x14:conditionalFormatting xmlns:xm="http://schemas.microsoft.com/office/excel/2006/main">
          <x14:cfRule type="dataBar" id="{23F3F874-1B1E-440E-A889-C1FB809586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AD6:AD7 AD9:AD21</xm:sqref>
        </x14:conditionalFormatting>
        <x14:conditionalFormatting xmlns:xm="http://schemas.microsoft.com/office/excel/2006/main">
          <x14:cfRule type="dataBar" id="{9BFF4455-628F-4EA7-873F-EF54B62E45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AD8</xm:sqref>
        </x14:conditionalFormatting>
        <x14:conditionalFormatting xmlns:xm="http://schemas.microsoft.com/office/excel/2006/main">
          <x14:cfRule type="dataBar" id="{1C5B959D-D8E2-4FEB-9A2A-42A9F7017E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4C6268-9C83-4366-AE9E-8F5DBFDB93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AG3:AG5 AJ3:AJ5</xm:sqref>
        </x14:conditionalFormatting>
        <x14:conditionalFormatting xmlns:xm="http://schemas.microsoft.com/office/excel/2006/main">
          <x14:cfRule type="dataBar" id="{85B1B6C7-DE51-4E54-97B3-23B125CF58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AG6:AG21 AJ6:AJ21</xm:sqref>
        </x14:conditionalFormatting>
        <x14:conditionalFormatting xmlns:xm="http://schemas.microsoft.com/office/excel/2006/main">
          <x14:cfRule type="dataBar" id="{E7A41485-492A-4002-9AED-91D17066A1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6C7DEC9-C37F-4D89-B91A-96F91A2304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AM3:AM5</xm:sqref>
        </x14:conditionalFormatting>
        <x14:conditionalFormatting xmlns:xm="http://schemas.microsoft.com/office/excel/2006/main">
          <x14:cfRule type="dataBar" id="{3F5B0286-2D0A-40A7-B708-6C0B3783F2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AM6:AM21</xm:sqref>
        </x14:conditionalFormatting>
        <x14:conditionalFormatting xmlns:xm="http://schemas.microsoft.com/office/excel/2006/main">
          <x14:cfRule type="dataBar" id="{18917924-6BFF-4D69-AC19-E071BD7B10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84844F-3507-42D1-BF10-757883CBFD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AP3:AP5</xm:sqref>
        </x14:conditionalFormatting>
        <x14:conditionalFormatting xmlns:xm="http://schemas.microsoft.com/office/excel/2006/main">
          <x14:cfRule type="dataBar" id="{9015D34E-47FE-42D0-8ED1-B3CC46BCF2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AP6:AP21</xm:sqref>
        </x14:conditionalFormatting>
        <x14:conditionalFormatting xmlns:xm="http://schemas.microsoft.com/office/excel/2006/main">
          <x14:cfRule type="dataBar" id="{10BCFA25-F5B9-44E7-9E52-432C1A26B2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FE59544-9C91-4C47-AB5A-B2BF3A20F4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AS3:AS5</xm:sqref>
        </x14:conditionalFormatting>
        <x14:conditionalFormatting xmlns:xm="http://schemas.microsoft.com/office/excel/2006/main">
          <x14:cfRule type="dataBar" id="{79A8BC13-2D5B-4487-BB9F-BD1AB83BD9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AS6:AS21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4B7FB-1247-4AAF-B590-0BD9FD54649E}">
  <sheetPr codeName="Sheet20"/>
  <dimension ref="A1:H68"/>
  <sheetViews>
    <sheetView workbookViewId="0">
      <pane ySplit="2" topLeftCell="A54" activePane="bottomLeft" state="frozen"/>
      <selection activeCell="E30" sqref="E30"/>
      <selection pane="bottomLeft" activeCell="J59" sqref="J59"/>
    </sheetView>
  </sheetViews>
  <sheetFormatPr defaultRowHeight="18.75" x14ac:dyDescent="0.4"/>
  <cols>
    <col min="2" max="2" width="4.875" bestFit="1" customWidth="1"/>
    <col min="3" max="3" width="9" style="27"/>
    <col min="4" max="4" width="18.25" bestFit="1" customWidth="1"/>
    <col min="5" max="5" width="35.875" style="19" bestFit="1" customWidth="1"/>
    <col min="8" max="8" width="9" style="27"/>
  </cols>
  <sheetData>
    <row r="1" spans="1:8" x14ac:dyDescent="0.4">
      <c r="C1" s="27">
        <f>SUM(C3:C165)</f>
        <v>470180</v>
      </c>
      <c r="H1" s="27">
        <f>SUM(H3:H169)</f>
        <v>470180</v>
      </c>
    </row>
    <row r="2" spans="1:8" x14ac:dyDescent="0.4">
      <c r="A2" s="20" t="s">
        <v>50</v>
      </c>
      <c r="B2" s="20" t="s">
        <v>55</v>
      </c>
      <c r="C2" s="28" t="s">
        <v>52</v>
      </c>
      <c r="D2" s="20" t="s">
        <v>51</v>
      </c>
      <c r="E2" s="21" t="s">
        <v>53</v>
      </c>
      <c r="G2" s="20" t="s">
        <v>50</v>
      </c>
      <c r="H2" s="28" t="s">
        <v>52</v>
      </c>
    </row>
    <row r="3" spans="1:8" x14ac:dyDescent="0.4">
      <c r="A3" s="18">
        <v>45658</v>
      </c>
      <c r="B3" s="18" t="s">
        <v>67</v>
      </c>
      <c r="C3" s="27">
        <v>100000</v>
      </c>
      <c r="D3" t="s">
        <v>97</v>
      </c>
      <c r="E3" s="19" t="s">
        <v>90</v>
      </c>
      <c r="G3" s="18">
        <v>45658</v>
      </c>
      <c r="H3" s="27">
        <f t="shared" ref="H3:H33" si="0">SUMIF($A$3:$A$213,$G3,$C$3:$C$213)</f>
        <v>271335</v>
      </c>
    </row>
    <row r="4" spans="1:8" x14ac:dyDescent="0.4">
      <c r="A4" s="18">
        <v>45658</v>
      </c>
      <c r="B4" s="18" t="s">
        <v>67</v>
      </c>
      <c r="C4" s="27">
        <v>150000</v>
      </c>
      <c r="D4" t="s">
        <v>42</v>
      </c>
      <c r="E4" t="s">
        <v>42</v>
      </c>
      <c r="G4" s="18">
        <v>45659</v>
      </c>
      <c r="H4" s="27">
        <f t="shared" si="0"/>
        <v>0</v>
      </c>
    </row>
    <row r="5" spans="1:8" x14ac:dyDescent="0.4">
      <c r="A5" s="18">
        <v>45658</v>
      </c>
      <c r="B5" s="18" t="s">
        <v>67</v>
      </c>
      <c r="C5" s="27">
        <f>4277</f>
        <v>4277</v>
      </c>
      <c r="D5" t="s">
        <v>58</v>
      </c>
      <c r="E5" s="19" t="s">
        <v>299</v>
      </c>
      <c r="G5" s="18">
        <v>45660</v>
      </c>
      <c r="H5" s="27">
        <f t="shared" si="0"/>
        <v>2399</v>
      </c>
    </row>
    <row r="6" spans="1:8" x14ac:dyDescent="0.4">
      <c r="A6" s="18">
        <v>45658</v>
      </c>
      <c r="B6" s="18" t="s">
        <v>67</v>
      </c>
      <c r="C6" s="27">
        <v>4708</v>
      </c>
      <c r="D6" t="s">
        <v>21</v>
      </c>
      <c r="E6" s="19" t="s">
        <v>302</v>
      </c>
      <c r="G6" s="18">
        <v>45661</v>
      </c>
      <c r="H6" s="27">
        <f t="shared" si="0"/>
        <v>3056</v>
      </c>
    </row>
    <row r="7" spans="1:8" x14ac:dyDescent="0.4">
      <c r="A7" s="18">
        <v>45658</v>
      </c>
      <c r="B7" s="18" t="s">
        <v>67</v>
      </c>
      <c r="C7" s="27">
        <v>3110</v>
      </c>
      <c r="D7" t="s">
        <v>25</v>
      </c>
      <c r="E7" s="19" t="s">
        <v>297</v>
      </c>
      <c r="G7" s="18">
        <v>45662</v>
      </c>
      <c r="H7" s="27">
        <f t="shared" si="0"/>
        <v>12552</v>
      </c>
    </row>
    <row r="8" spans="1:8" x14ac:dyDescent="0.4">
      <c r="A8" s="18">
        <v>45658</v>
      </c>
      <c r="B8" s="18" t="s">
        <v>67</v>
      </c>
      <c r="C8" s="27">
        <v>3610</v>
      </c>
      <c r="D8" t="s">
        <v>25</v>
      </c>
      <c r="E8" s="19" t="s">
        <v>298</v>
      </c>
      <c r="G8" s="18">
        <v>45663</v>
      </c>
      <c r="H8" s="27">
        <f t="shared" si="0"/>
        <v>4696</v>
      </c>
    </row>
    <row r="9" spans="1:8" x14ac:dyDescent="0.4">
      <c r="A9" s="18">
        <v>45658</v>
      </c>
      <c r="B9" s="18" t="s">
        <v>67</v>
      </c>
      <c r="C9" s="27">
        <v>360</v>
      </c>
      <c r="D9" t="s">
        <v>25</v>
      </c>
      <c r="E9" s="19" t="s">
        <v>301</v>
      </c>
      <c r="G9" s="18">
        <v>45664</v>
      </c>
      <c r="H9" s="27">
        <f t="shared" si="0"/>
        <v>180</v>
      </c>
    </row>
    <row r="10" spans="1:8" x14ac:dyDescent="0.4">
      <c r="A10" s="18">
        <v>45658</v>
      </c>
      <c r="B10" s="18" t="s">
        <v>67</v>
      </c>
      <c r="C10" s="27">
        <f>1800+3470</f>
        <v>5270</v>
      </c>
      <c r="D10" t="s">
        <v>25</v>
      </c>
      <c r="E10" s="19" t="s">
        <v>301</v>
      </c>
      <c r="G10" s="18">
        <v>45665</v>
      </c>
      <c r="H10" s="27">
        <f t="shared" si="0"/>
        <v>0</v>
      </c>
    </row>
    <row r="11" spans="1:8" x14ac:dyDescent="0.4">
      <c r="A11" s="18">
        <v>45660</v>
      </c>
      <c r="B11" s="18" t="s">
        <v>71</v>
      </c>
      <c r="C11" s="27">
        <v>2159</v>
      </c>
      <c r="D11" t="s">
        <v>179</v>
      </c>
      <c r="E11" s="19" t="s">
        <v>308</v>
      </c>
      <c r="G11" s="18">
        <v>45666</v>
      </c>
      <c r="H11" s="27">
        <f t="shared" si="0"/>
        <v>637</v>
      </c>
    </row>
    <row r="12" spans="1:8" x14ac:dyDescent="0.4">
      <c r="A12" s="18">
        <v>45660</v>
      </c>
      <c r="B12" s="18" t="s">
        <v>71</v>
      </c>
      <c r="C12" s="27">
        <v>240</v>
      </c>
      <c r="D12" t="s">
        <v>180</v>
      </c>
      <c r="E12" s="19" t="s">
        <v>303</v>
      </c>
      <c r="G12" s="18">
        <v>45667</v>
      </c>
      <c r="H12" s="27">
        <f t="shared" si="0"/>
        <v>4764</v>
      </c>
    </row>
    <row r="13" spans="1:8" x14ac:dyDescent="0.4">
      <c r="A13" s="18">
        <v>45661</v>
      </c>
      <c r="B13" s="18" t="s">
        <v>72</v>
      </c>
      <c r="C13" s="27">
        <v>1298</v>
      </c>
      <c r="D13" t="s">
        <v>181</v>
      </c>
      <c r="E13" s="19" t="s">
        <v>307</v>
      </c>
      <c r="G13" s="18">
        <v>45668</v>
      </c>
      <c r="H13" s="27">
        <f t="shared" si="0"/>
        <v>0</v>
      </c>
    </row>
    <row r="14" spans="1:8" x14ac:dyDescent="0.4">
      <c r="A14" s="18">
        <v>45661</v>
      </c>
      <c r="B14" s="18" t="s">
        <v>72</v>
      </c>
      <c r="C14" s="27">
        <f>3056-1298</f>
        <v>1758</v>
      </c>
      <c r="D14" t="s">
        <v>114</v>
      </c>
      <c r="E14" s="19" t="s">
        <v>307</v>
      </c>
      <c r="G14" s="18">
        <v>45669</v>
      </c>
      <c r="H14" s="27">
        <f t="shared" si="0"/>
        <v>1981</v>
      </c>
    </row>
    <row r="15" spans="1:8" x14ac:dyDescent="0.4">
      <c r="A15" s="18">
        <v>45662</v>
      </c>
      <c r="B15" s="18" t="s">
        <v>73</v>
      </c>
      <c r="C15" s="27">
        <v>980</v>
      </c>
      <c r="D15" t="s">
        <v>58</v>
      </c>
      <c r="E15" s="19" t="s">
        <v>143</v>
      </c>
      <c r="G15" s="18">
        <v>45670</v>
      </c>
      <c r="H15" s="27">
        <f t="shared" si="0"/>
        <v>5030</v>
      </c>
    </row>
    <row r="16" spans="1:8" x14ac:dyDescent="0.4">
      <c r="A16" s="18">
        <v>45662</v>
      </c>
      <c r="B16" s="18" t="s">
        <v>73</v>
      </c>
      <c r="C16" s="27">
        <v>100</v>
      </c>
      <c r="D16" t="s">
        <v>48</v>
      </c>
      <c r="E16" s="19" t="s">
        <v>185</v>
      </c>
      <c r="G16" s="18">
        <v>45671</v>
      </c>
      <c r="H16" s="27">
        <f t="shared" si="0"/>
        <v>10023</v>
      </c>
    </row>
    <row r="17" spans="1:8" x14ac:dyDescent="0.4">
      <c r="A17" s="18">
        <v>45662</v>
      </c>
      <c r="B17" s="18" t="s">
        <v>73</v>
      </c>
      <c r="C17" s="27">
        <f>356*2</f>
        <v>712</v>
      </c>
      <c r="D17" t="s">
        <v>48</v>
      </c>
      <c r="E17" s="19" t="s">
        <v>306</v>
      </c>
      <c r="G17" s="18">
        <v>45672</v>
      </c>
      <c r="H17" s="27">
        <f t="shared" si="0"/>
        <v>0</v>
      </c>
    </row>
    <row r="18" spans="1:8" x14ac:dyDescent="0.4">
      <c r="A18" s="18">
        <v>45662</v>
      </c>
      <c r="B18" s="18" t="s">
        <v>73</v>
      </c>
      <c r="C18" s="27">
        <v>170</v>
      </c>
      <c r="D18" t="s">
        <v>114</v>
      </c>
      <c r="E18" s="19" t="s">
        <v>186</v>
      </c>
      <c r="G18" s="18">
        <v>45673</v>
      </c>
      <c r="H18" s="27">
        <f t="shared" si="0"/>
        <v>1756</v>
      </c>
    </row>
    <row r="19" spans="1:8" x14ac:dyDescent="0.4">
      <c r="A19" s="18">
        <v>45662</v>
      </c>
      <c r="B19" s="18" t="s">
        <v>73</v>
      </c>
      <c r="C19" s="27">
        <v>4550</v>
      </c>
      <c r="D19" t="s">
        <v>114</v>
      </c>
      <c r="E19" s="19" t="s">
        <v>310</v>
      </c>
      <c r="G19" s="18">
        <v>45674</v>
      </c>
      <c r="H19" s="27">
        <f t="shared" si="0"/>
        <v>20317</v>
      </c>
    </row>
    <row r="20" spans="1:8" x14ac:dyDescent="0.4">
      <c r="A20" s="18">
        <v>45662</v>
      </c>
      <c r="B20" s="18" t="s">
        <v>73</v>
      </c>
      <c r="C20" s="27">
        <v>860</v>
      </c>
      <c r="D20" t="s">
        <v>114</v>
      </c>
      <c r="E20" s="19" t="s">
        <v>311</v>
      </c>
      <c r="G20" s="18">
        <v>45675</v>
      </c>
      <c r="H20" s="27">
        <f t="shared" si="0"/>
        <v>0</v>
      </c>
    </row>
    <row r="21" spans="1:8" x14ac:dyDescent="0.4">
      <c r="A21" s="18">
        <v>45662</v>
      </c>
      <c r="B21" s="18" t="s">
        <v>73</v>
      </c>
      <c r="C21" s="27">
        <v>1650</v>
      </c>
      <c r="D21" t="s">
        <v>58</v>
      </c>
      <c r="E21" s="19" t="s">
        <v>312</v>
      </c>
      <c r="G21" s="18">
        <v>45676</v>
      </c>
      <c r="H21" s="27">
        <f t="shared" si="0"/>
        <v>7385</v>
      </c>
    </row>
    <row r="22" spans="1:8" x14ac:dyDescent="0.4">
      <c r="A22" s="18">
        <v>45662</v>
      </c>
      <c r="B22" s="18" t="s">
        <v>73</v>
      </c>
      <c r="C22" s="27">
        <v>1760</v>
      </c>
      <c r="D22" t="s">
        <v>58</v>
      </c>
      <c r="E22" s="19" t="s">
        <v>313</v>
      </c>
      <c r="G22" s="18">
        <v>45677</v>
      </c>
      <c r="H22" s="27">
        <f t="shared" si="0"/>
        <v>500</v>
      </c>
    </row>
    <row r="23" spans="1:8" x14ac:dyDescent="0.4">
      <c r="A23" s="18">
        <v>45662</v>
      </c>
      <c r="B23" s="18" t="s">
        <v>73</v>
      </c>
      <c r="C23" s="27">
        <v>1770</v>
      </c>
      <c r="D23" t="s">
        <v>57</v>
      </c>
      <c r="E23" s="19" t="s">
        <v>314</v>
      </c>
      <c r="G23" s="18">
        <v>45678</v>
      </c>
      <c r="H23" s="27">
        <f t="shared" si="0"/>
        <v>0</v>
      </c>
    </row>
    <row r="24" spans="1:8" x14ac:dyDescent="0.4">
      <c r="A24" s="18">
        <v>45663</v>
      </c>
      <c r="B24" s="18" t="s">
        <v>56</v>
      </c>
      <c r="C24" s="27">
        <v>637</v>
      </c>
      <c r="D24" t="s">
        <v>114</v>
      </c>
      <c r="E24" s="19" t="s">
        <v>309</v>
      </c>
      <c r="G24" s="18">
        <v>45679</v>
      </c>
      <c r="H24" s="27">
        <f t="shared" si="0"/>
        <v>5134</v>
      </c>
    </row>
    <row r="25" spans="1:8" x14ac:dyDescent="0.4">
      <c r="A25" s="18">
        <v>45663</v>
      </c>
      <c r="B25" s="18" t="s">
        <v>56</v>
      </c>
      <c r="C25" s="27">
        <v>610</v>
      </c>
      <c r="D25" t="s">
        <v>114</v>
      </c>
      <c r="E25" s="19" t="s">
        <v>315</v>
      </c>
      <c r="G25" s="18">
        <v>45680</v>
      </c>
      <c r="H25" s="27">
        <f t="shared" si="0"/>
        <v>1166</v>
      </c>
    </row>
    <row r="26" spans="1:8" x14ac:dyDescent="0.4">
      <c r="A26" s="18">
        <v>45663</v>
      </c>
      <c r="B26" s="18" t="s">
        <v>56</v>
      </c>
      <c r="C26" s="27">
        <v>1153</v>
      </c>
      <c r="D26" t="s">
        <v>114</v>
      </c>
      <c r="E26" s="19" t="s">
        <v>316</v>
      </c>
      <c r="G26" s="18">
        <v>45681</v>
      </c>
      <c r="H26" s="27">
        <f t="shared" si="0"/>
        <v>0</v>
      </c>
    </row>
    <row r="27" spans="1:8" x14ac:dyDescent="0.4">
      <c r="A27" s="18">
        <v>45663</v>
      </c>
      <c r="B27" s="18" t="s">
        <v>56</v>
      </c>
      <c r="C27" s="27">
        <v>2296</v>
      </c>
      <c r="D27" t="s">
        <v>114</v>
      </c>
      <c r="E27" s="19" t="s">
        <v>317</v>
      </c>
      <c r="G27" s="18">
        <v>45682</v>
      </c>
      <c r="H27" s="27">
        <f t="shared" si="0"/>
        <v>65770</v>
      </c>
    </row>
    <row r="28" spans="1:8" x14ac:dyDescent="0.4">
      <c r="A28" s="18">
        <v>45664</v>
      </c>
      <c r="B28" s="18" t="s">
        <v>66</v>
      </c>
      <c r="C28" s="27">
        <f>110+70</f>
        <v>180</v>
      </c>
      <c r="D28" t="s">
        <v>114</v>
      </c>
      <c r="E28" s="19" t="s">
        <v>186</v>
      </c>
      <c r="G28" s="18">
        <v>45683</v>
      </c>
      <c r="H28" s="27">
        <f t="shared" si="0"/>
        <v>4304</v>
      </c>
    </row>
    <row r="29" spans="1:8" x14ac:dyDescent="0.4">
      <c r="A29" s="18">
        <v>45666</v>
      </c>
      <c r="B29" s="18" t="s">
        <v>69</v>
      </c>
      <c r="C29" s="27">
        <v>637</v>
      </c>
      <c r="D29" t="s">
        <v>114</v>
      </c>
      <c r="E29" s="19" t="s">
        <v>309</v>
      </c>
      <c r="G29" s="18">
        <v>45684</v>
      </c>
      <c r="H29" s="27">
        <f t="shared" si="0"/>
        <v>1839</v>
      </c>
    </row>
    <row r="30" spans="1:8" x14ac:dyDescent="0.4">
      <c r="A30" s="18">
        <v>45667</v>
      </c>
      <c r="B30" s="18" t="s">
        <v>71</v>
      </c>
      <c r="C30" s="27">
        <v>4764</v>
      </c>
      <c r="D30" t="s">
        <v>20</v>
      </c>
      <c r="E30" s="19" t="s">
        <v>318</v>
      </c>
      <c r="G30" s="18">
        <v>45685</v>
      </c>
      <c r="H30" s="27">
        <f t="shared" si="0"/>
        <v>7550</v>
      </c>
    </row>
    <row r="31" spans="1:8" x14ac:dyDescent="0.4">
      <c r="A31" s="18">
        <v>45669</v>
      </c>
      <c r="B31" s="18" t="s">
        <v>73</v>
      </c>
      <c r="C31" s="27">
        <v>220</v>
      </c>
      <c r="D31" t="s">
        <v>48</v>
      </c>
      <c r="E31" s="19" t="s">
        <v>185</v>
      </c>
      <c r="G31" s="18">
        <v>45686</v>
      </c>
      <c r="H31" s="27">
        <f t="shared" si="0"/>
        <v>29807</v>
      </c>
    </row>
    <row r="32" spans="1:8" x14ac:dyDescent="0.4">
      <c r="A32" s="18">
        <v>45669</v>
      </c>
      <c r="B32" s="18" t="s">
        <v>73</v>
      </c>
      <c r="C32" s="27">
        <v>209</v>
      </c>
      <c r="D32" t="s">
        <v>48</v>
      </c>
      <c r="E32" s="19" t="s">
        <v>304</v>
      </c>
      <c r="G32" s="18">
        <v>45687</v>
      </c>
      <c r="H32" s="27">
        <f t="shared" si="0"/>
        <v>1366</v>
      </c>
    </row>
    <row r="33" spans="1:8" x14ac:dyDescent="0.4">
      <c r="A33" s="18">
        <v>45669</v>
      </c>
      <c r="B33" s="18" t="s">
        <v>73</v>
      </c>
      <c r="C33" s="27">
        <v>252</v>
      </c>
      <c r="D33" t="s">
        <v>48</v>
      </c>
      <c r="E33" s="19" t="s">
        <v>304</v>
      </c>
      <c r="G33" s="18">
        <v>45688</v>
      </c>
      <c r="H33" s="27">
        <f t="shared" si="0"/>
        <v>6633</v>
      </c>
    </row>
    <row r="34" spans="1:8" x14ac:dyDescent="0.4">
      <c r="A34" s="18">
        <v>45669</v>
      </c>
      <c r="B34" s="18" t="s">
        <v>73</v>
      </c>
      <c r="C34" s="27">
        <v>1300</v>
      </c>
      <c r="D34" t="s">
        <v>194</v>
      </c>
      <c r="E34" s="19" t="s">
        <v>319</v>
      </c>
      <c r="G34" s="18"/>
    </row>
    <row r="35" spans="1:8" x14ac:dyDescent="0.4">
      <c r="A35" s="18">
        <v>45670</v>
      </c>
      <c r="B35" s="18" t="s">
        <v>56</v>
      </c>
      <c r="C35" s="27">
        <v>3391</v>
      </c>
      <c r="D35" t="s">
        <v>21</v>
      </c>
      <c r="E35" s="19" t="s">
        <v>350</v>
      </c>
      <c r="G35" s="18"/>
    </row>
    <row r="36" spans="1:8" x14ac:dyDescent="0.4">
      <c r="A36" s="18">
        <v>45670</v>
      </c>
      <c r="B36" s="18" t="s">
        <v>56</v>
      </c>
      <c r="C36" s="27">
        <v>1639</v>
      </c>
      <c r="D36" t="s">
        <v>114</v>
      </c>
      <c r="E36" s="19" t="s">
        <v>307</v>
      </c>
      <c r="G36" s="18"/>
    </row>
    <row r="37" spans="1:8" x14ac:dyDescent="0.4">
      <c r="A37" s="18">
        <v>45671</v>
      </c>
      <c r="B37" s="18" t="s">
        <v>66</v>
      </c>
      <c r="C37" s="27">
        <v>1168</v>
      </c>
      <c r="D37" t="s">
        <v>114</v>
      </c>
      <c r="E37" s="19" t="s">
        <v>309</v>
      </c>
      <c r="G37" s="18"/>
    </row>
    <row r="38" spans="1:8" x14ac:dyDescent="0.4">
      <c r="A38" s="18">
        <v>45671</v>
      </c>
      <c r="B38" s="18" t="s">
        <v>66</v>
      </c>
      <c r="C38" s="27">
        <v>8855</v>
      </c>
      <c r="D38" t="s">
        <v>20</v>
      </c>
      <c r="E38" s="19" t="s">
        <v>88</v>
      </c>
      <c r="G38" s="18"/>
    </row>
    <row r="39" spans="1:8" x14ac:dyDescent="0.4">
      <c r="A39" s="18">
        <v>45673</v>
      </c>
      <c r="B39" s="18" t="s">
        <v>69</v>
      </c>
      <c r="C39" s="27">
        <v>1166</v>
      </c>
      <c r="D39" t="s">
        <v>114</v>
      </c>
      <c r="E39" s="19" t="s">
        <v>309</v>
      </c>
      <c r="G39" s="18"/>
    </row>
    <row r="40" spans="1:8" x14ac:dyDescent="0.4">
      <c r="A40" s="18">
        <v>45673</v>
      </c>
      <c r="B40" s="18" t="s">
        <v>69</v>
      </c>
      <c r="C40" s="27">
        <v>590</v>
      </c>
      <c r="D40" t="s">
        <v>114</v>
      </c>
      <c r="E40" s="19" t="s">
        <v>315</v>
      </c>
      <c r="G40" s="18"/>
    </row>
    <row r="41" spans="1:8" x14ac:dyDescent="0.4">
      <c r="A41" s="18">
        <v>45674</v>
      </c>
      <c r="B41" s="18" t="s">
        <v>71</v>
      </c>
      <c r="C41" s="27">
        <v>637</v>
      </c>
      <c r="D41" s="27" t="s">
        <v>114</v>
      </c>
      <c r="E41" s="19" t="s">
        <v>309</v>
      </c>
      <c r="G41" s="18"/>
    </row>
    <row r="42" spans="1:8" x14ac:dyDescent="0.4">
      <c r="A42" s="18">
        <v>45674</v>
      </c>
      <c r="B42" s="18" t="s">
        <v>71</v>
      </c>
      <c r="C42" s="27">
        <v>10000</v>
      </c>
      <c r="D42" t="s">
        <v>195</v>
      </c>
      <c r="E42" s="19" t="s">
        <v>320</v>
      </c>
      <c r="G42" s="18"/>
    </row>
    <row r="43" spans="1:8" x14ac:dyDescent="0.4">
      <c r="A43" s="18">
        <v>45674</v>
      </c>
      <c r="B43" s="18" t="s">
        <v>71</v>
      </c>
      <c r="C43" s="17">
        <v>9680</v>
      </c>
      <c r="D43" t="s">
        <v>195</v>
      </c>
      <c r="E43" s="19" t="s">
        <v>321</v>
      </c>
      <c r="G43" s="18"/>
    </row>
    <row r="44" spans="1:8" x14ac:dyDescent="0.4">
      <c r="A44" s="18">
        <v>45676</v>
      </c>
      <c r="B44" s="18" t="s">
        <v>73</v>
      </c>
      <c r="C44" s="27">
        <v>3950</v>
      </c>
      <c r="D44" t="s">
        <v>114</v>
      </c>
      <c r="E44" s="19" t="s">
        <v>322</v>
      </c>
      <c r="G44" s="18"/>
    </row>
    <row r="45" spans="1:8" x14ac:dyDescent="0.4">
      <c r="A45" s="18">
        <v>45676</v>
      </c>
      <c r="B45" s="18" t="s">
        <v>73</v>
      </c>
      <c r="C45" s="27">
        <v>1811</v>
      </c>
      <c r="D45" t="s">
        <v>114</v>
      </c>
      <c r="E45" s="19" t="s">
        <v>308</v>
      </c>
      <c r="G45" s="18"/>
    </row>
    <row r="46" spans="1:8" x14ac:dyDescent="0.4">
      <c r="A46" s="18">
        <v>45676</v>
      </c>
      <c r="B46" s="18" t="s">
        <v>73</v>
      </c>
      <c r="C46" s="27">
        <v>1624</v>
      </c>
      <c r="D46" t="s">
        <v>114</v>
      </c>
      <c r="E46" s="19" t="s">
        <v>307</v>
      </c>
      <c r="G46" s="18"/>
    </row>
    <row r="47" spans="1:8" x14ac:dyDescent="0.4">
      <c r="A47" s="18">
        <v>45677</v>
      </c>
      <c r="B47" s="18" t="s">
        <v>56</v>
      </c>
      <c r="C47" s="27">
        <f>70+260+70</f>
        <v>400</v>
      </c>
      <c r="D47" t="s">
        <v>114</v>
      </c>
      <c r="E47" s="19" t="s">
        <v>186</v>
      </c>
      <c r="G47" s="18"/>
    </row>
    <row r="48" spans="1:8" x14ac:dyDescent="0.4">
      <c r="A48" s="18">
        <v>45677</v>
      </c>
      <c r="B48" s="18" t="s">
        <v>56</v>
      </c>
      <c r="C48" s="27">
        <v>100</v>
      </c>
      <c r="D48" t="s">
        <v>114</v>
      </c>
      <c r="E48" s="19" t="s">
        <v>323</v>
      </c>
      <c r="G48" s="18"/>
    </row>
    <row r="49" spans="1:7" x14ac:dyDescent="0.4">
      <c r="A49" s="18">
        <v>45679</v>
      </c>
      <c r="B49" s="18" t="s">
        <v>67</v>
      </c>
      <c r="C49" s="27">
        <v>2824</v>
      </c>
      <c r="D49" t="s">
        <v>114</v>
      </c>
      <c r="E49" s="19" t="s">
        <v>324</v>
      </c>
      <c r="G49" s="18"/>
    </row>
    <row r="50" spans="1:7" x14ac:dyDescent="0.4">
      <c r="A50" s="18">
        <v>45679</v>
      </c>
      <c r="B50" s="18" t="s">
        <v>67</v>
      </c>
      <c r="C50" s="27">
        <v>2310</v>
      </c>
      <c r="D50" t="s">
        <v>196</v>
      </c>
      <c r="E50" s="19" t="s">
        <v>325</v>
      </c>
      <c r="G50" s="18"/>
    </row>
    <row r="51" spans="1:7" x14ac:dyDescent="0.4">
      <c r="A51" s="18">
        <v>45680</v>
      </c>
      <c r="B51" s="18" t="s">
        <v>69</v>
      </c>
      <c r="C51" s="27">
        <v>1166</v>
      </c>
      <c r="D51" t="s">
        <v>114</v>
      </c>
      <c r="E51" s="19" t="s">
        <v>309</v>
      </c>
      <c r="G51" s="18"/>
    </row>
    <row r="52" spans="1:7" x14ac:dyDescent="0.4">
      <c r="A52" s="18">
        <v>45682</v>
      </c>
      <c r="B52" s="18" t="s">
        <v>72</v>
      </c>
      <c r="C52" s="27">
        <f>65000+770</f>
        <v>65770</v>
      </c>
      <c r="D52" t="s">
        <v>74</v>
      </c>
      <c r="E52" s="19" t="s">
        <v>75</v>
      </c>
      <c r="G52" s="18"/>
    </row>
    <row r="53" spans="1:7" x14ac:dyDescent="0.4">
      <c r="A53" s="18">
        <v>45683</v>
      </c>
      <c r="B53" s="18" t="s">
        <v>73</v>
      </c>
      <c r="C53" s="27">
        <v>770</v>
      </c>
      <c r="D53" t="s">
        <v>201</v>
      </c>
      <c r="E53" s="19" t="s">
        <v>198</v>
      </c>
      <c r="G53" s="18"/>
    </row>
    <row r="54" spans="1:7" x14ac:dyDescent="0.4">
      <c r="A54" s="18">
        <v>45683</v>
      </c>
      <c r="B54" s="18" t="s">
        <v>73</v>
      </c>
      <c r="C54" s="27">
        <v>178</v>
      </c>
      <c r="D54" t="s">
        <v>201</v>
      </c>
      <c r="E54" s="19" t="s">
        <v>303</v>
      </c>
      <c r="G54" s="18"/>
    </row>
    <row r="55" spans="1:7" x14ac:dyDescent="0.4">
      <c r="A55" s="18">
        <v>45683</v>
      </c>
      <c r="B55" s="18" t="s">
        <v>73</v>
      </c>
      <c r="C55" s="27">
        <v>1731</v>
      </c>
      <c r="D55" t="s">
        <v>202</v>
      </c>
      <c r="E55" s="19" t="s">
        <v>324</v>
      </c>
      <c r="G55" s="18"/>
    </row>
    <row r="56" spans="1:7" x14ac:dyDescent="0.4">
      <c r="A56" s="18">
        <v>45683</v>
      </c>
      <c r="B56" s="18" t="s">
        <v>73</v>
      </c>
      <c r="C56" s="27">
        <v>1625</v>
      </c>
      <c r="D56" t="s">
        <v>202</v>
      </c>
      <c r="E56" s="19" t="s">
        <v>199</v>
      </c>
      <c r="G56" s="18"/>
    </row>
    <row r="57" spans="1:7" x14ac:dyDescent="0.4">
      <c r="A57" s="18">
        <v>45684</v>
      </c>
      <c r="B57" s="18" t="s">
        <v>56</v>
      </c>
      <c r="C57" s="27">
        <v>1839</v>
      </c>
      <c r="D57" t="s">
        <v>202</v>
      </c>
      <c r="E57" s="19" t="s">
        <v>199</v>
      </c>
      <c r="G57" s="18"/>
    </row>
    <row r="58" spans="1:7" x14ac:dyDescent="0.4">
      <c r="A58" s="18">
        <v>45685</v>
      </c>
      <c r="B58" s="18" t="s">
        <v>66</v>
      </c>
      <c r="C58" s="27">
        <v>7550</v>
      </c>
      <c r="D58" t="s">
        <v>252</v>
      </c>
      <c r="E58" s="19" t="s">
        <v>326</v>
      </c>
    </row>
    <row r="59" spans="1:7" x14ac:dyDescent="0.4">
      <c r="A59" s="18">
        <v>45686</v>
      </c>
      <c r="B59" s="18" t="s">
        <v>67</v>
      </c>
      <c r="C59" s="27">
        <v>29807</v>
      </c>
      <c r="D59" t="s">
        <v>29</v>
      </c>
      <c r="E59" s="19" t="s">
        <v>327</v>
      </c>
    </row>
    <row r="60" spans="1:7" x14ac:dyDescent="0.4">
      <c r="A60" s="18">
        <v>45687</v>
      </c>
      <c r="B60" s="18" t="s">
        <v>69</v>
      </c>
      <c r="C60" s="27">
        <v>1366</v>
      </c>
      <c r="D60" t="s">
        <v>114</v>
      </c>
      <c r="E60" s="19" t="s">
        <v>309</v>
      </c>
      <c r="G60" s="18"/>
    </row>
    <row r="61" spans="1:7" x14ac:dyDescent="0.4">
      <c r="A61" s="18">
        <v>45688</v>
      </c>
      <c r="B61" s="18" t="s">
        <v>71</v>
      </c>
      <c r="C61" s="27">
        <v>1760</v>
      </c>
      <c r="D61" t="s">
        <v>58</v>
      </c>
      <c r="E61" s="19" t="s">
        <v>312</v>
      </c>
      <c r="G61" s="18"/>
    </row>
    <row r="62" spans="1:7" x14ac:dyDescent="0.4">
      <c r="A62" s="18">
        <v>45688</v>
      </c>
      <c r="B62" s="18" t="s">
        <v>71</v>
      </c>
      <c r="C62" s="27">
        <v>3960</v>
      </c>
      <c r="D62" t="s">
        <v>58</v>
      </c>
      <c r="E62" s="19" t="s">
        <v>312</v>
      </c>
      <c r="G62" s="18"/>
    </row>
    <row r="63" spans="1:7" x14ac:dyDescent="0.4">
      <c r="A63" s="18">
        <v>45688</v>
      </c>
      <c r="B63" s="18" t="s">
        <v>71</v>
      </c>
      <c r="C63" s="27">
        <v>913</v>
      </c>
      <c r="D63" t="s">
        <v>29</v>
      </c>
      <c r="E63" s="19" t="s">
        <v>327</v>
      </c>
    </row>
    <row r="66" spans="1:2" x14ac:dyDescent="0.4">
      <c r="A66" s="18"/>
      <c r="B66" s="18"/>
    </row>
    <row r="67" spans="1:2" x14ac:dyDescent="0.4">
      <c r="A67" s="18"/>
      <c r="B67" s="18"/>
    </row>
    <row r="68" spans="1:2" x14ac:dyDescent="0.4">
      <c r="A68" s="18"/>
      <c r="B68" s="18"/>
    </row>
  </sheetData>
  <autoFilter ref="A2:E62" xr:uid="{7E04B7FB-1247-4AAF-B590-0BD9FD54649E}"/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20C23-5E4E-496D-BF2A-114E9978796D}">
  <sheetPr codeName="Sheet21"/>
  <dimension ref="A1:H71"/>
  <sheetViews>
    <sheetView workbookViewId="0">
      <pane ySplit="2" topLeftCell="A4" activePane="bottomLeft" state="frozen"/>
      <selection activeCell="E30" sqref="E30"/>
      <selection pane="bottomLeft" activeCell="E30" sqref="E30"/>
    </sheetView>
  </sheetViews>
  <sheetFormatPr defaultRowHeight="18.75" x14ac:dyDescent="0.4"/>
  <cols>
    <col min="2" max="2" width="4.875" bestFit="1" customWidth="1"/>
    <col min="3" max="3" width="9" style="27"/>
    <col min="4" max="4" width="18.25" bestFit="1" customWidth="1"/>
    <col min="5" max="5" width="35.875" style="19" bestFit="1" customWidth="1"/>
    <col min="8" max="8" width="9" style="27"/>
  </cols>
  <sheetData>
    <row r="1" spans="1:8" x14ac:dyDescent="0.4">
      <c r="C1" s="27">
        <f>SUM(C3:C182)</f>
        <v>387210</v>
      </c>
      <c r="H1" s="27">
        <f>SUM(H3:H177)</f>
        <v>387210</v>
      </c>
    </row>
    <row r="2" spans="1:8" x14ac:dyDescent="0.4">
      <c r="A2" s="20" t="s">
        <v>50</v>
      </c>
      <c r="B2" s="20" t="s">
        <v>55</v>
      </c>
      <c r="C2" s="28" t="s">
        <v>52</v>
      </c>
      <c r="D2" s="20" t="s">
        <v>51</v>
      </c>
      <c r="E2" s="21" t="s">
        <v>53</v>
      </c>
      <c r="G2" s="20" t="s">
        <v>50</v>
      </c>
      <c r="H2" s="28" t="s">
        <v>52</v>
      </c>
    </row>
    <row r="3" spans="1:8" x14ac:dyDescent="0.4">
      <c r="A3" s="18">
        <v>45689</v>
      </c>
      <c r="B3" s="18" t="s">
        <v>178</v>
      </c>
      <c r="C3" s="27">
        <v>100000</v>
      </c>
      <c r="D3" t="s">
        <v>97</v>
      </c>
      <c r="E3" s="19" t="s">
        <v>90</v>
      </c>
      <c r="G3" s="18">
        <v>45689</v>
      </c>
      <c r="H3" s="27">
        <f t="shared" ref="H3:H30" si="0">SUMIF($A$3:$A$230,$G3,$C$3:$C$230)</f>
        <v>275155</v>
      </c>
    </row>
    <row r="4" spans="1:8" x14ac:dyDescent="0.4">
      <c r="A4" s="18">
        <v>45689</v>
      </c>
      <c r="B4" s="18" t="s">
        <v>178</v>
      </c>
      <c r="C4" s="27">
        <v>150000</v>
      </c>
      <c r="D4" t="s">
        <v>42</v>
      </c>
      <c r="E4" t="s">
        <v>42</v>
      </c>
      <c r="G4" s="18">
        <v>45690</v>
      </c>
      <c r="H4" s="27">
        <f t="shared" si="0"/>
        <v>1567</v>
      </c>
    </row>
    <row r="5" spans="1:8" x14ac:dyDescent="0.4">
      <c r="A5" s="18">
        <v>45689</v>
      </c>
      <c r="B5" s="18" t="s">
        <v>72</v>
      </c>
      <c r="C5" s="27">
        <f>4277</f>
        <v>4277</v>
      </c>
      <c r="D5" t="s">
        <v>58</v>
      </c>
      <c r="E5" s="19" t="s">
        <v>299</v>
      </c>
      <c r="G5" s="18">
        <v>45691</v>
      </c>
      <c r="H5" s="27">
        <f t="shared" si="0"/>
        <v>5183</v>
      </c>
    </row>
    <row r="6" spans="1:8" x14ac:dyDescent="0.4">
      <c r="A6" s="18">
        <v>45689</v>
      </c>
      <c r="B6" s="18" t="s">
        <v>72</v>
      </c>
      <c r="C6" s="27">
        <v>4708</v>
      </c>
      <c r="D6" t="s">
        <v>21</v>
      </c>
      <c r="E6" s="19" t="s">
        <v>302</v>
      </c>
      <c r="G6" s="18">
        <v>45692</v>
      </c>
      <c r="H6" s="27">
        <f t="shared" si="0"/>
        <v>546</v>
      </c>
    </row>
    <row r="7" spans="1:8" x14ac:dyDescent="0.4">
      <c r="A7" s="18">
        <v>45689</v>
      </c>
      <c r="B7" s="18" t="s">
        <v>72</v>
      </c>
      <c r="C7" s="27">
        <v>3110</v>
      </c>
      <c r="D7" t="s">
        <v>25</v>
      </c>
      <c r="E7" s="19" t="s">
        <v>297</v>
      </c>
      <c r="G7" s="18">
        <v>45693</v>
      </c>
      <c r="H7" s="27">
        <f t="shared" si="0"/>
        <v>980</v>
      </c>
    </row>
    <row r="8" spans="1:8" x14ac:dyDescent="0.4">
      <c r="A8" s="18">
        <v>45689</v>
      </c>
      <c r="B8" s="18" t="s">
        <v>72</v>
      </c>
      <c r="C8" s="27">
        <v>3610</v>
      </c>
      <c r="D8" t="s">
        <v>25</v>
      </c>
      <c r="E8" s="19" t="s">
        <v>298</v>
      </c>
      <c r="G8" s="18">
        <v>45694</v>
      </c>
      <c r="H8" s="27">
        <f t="shared" si="0"/>
        <v>1366</v>
      </c>
    </row>
    <row r="9" spans="1:8" x14ac:dyDescent="0.4">
      <c r="A9" s="18">
        <v>45689</v>
      </c>
      <c r="B9" s="18" t="s">
        <v>72</v>
      </c>
      <c r="C9" s="27">
        <v>360</v>
      </c>
      <c r="D9" t="s">
        <v>25</v>
      </c>
      <c r="E9" s="19" t="s">
        <v>301</v>
      </c>
      <c r="G9" s="18">
        <v>45695</v>
      </c>
      <c r="H9" s="27">
        <f t="shared" si="0"/>
        <v>0</v>
      </c>
    </row>
    <row r="10" spans="1:8" x14ac:dyDescent="0.4">
      <c r="A10" s="18">
        <v>45689</v>
      </c>
      <c r="B10" s="18" t="s">
        <v>72</v>
      </c>
      <c r="C10" s="27">
        <f>1800+3470</f>
        <v>5270</v>
      </c>
      <c r="D10" t="s">
        <v>25</v>
      </c>
      <c r="E10" s="19" t="s">
        <v>301</v>
      </c>
      <c r="G10" s="18">
        <v>45696</v>
      </c>
      <c r="H10" s="27">
        <f t="shared" si="0"/>
        <v>5910</v>
      </c>
    </row>
    <row r="11" spans="1:8" x14ac:dyDescent="0.4">
      <c r="A11" s="18">
        <v>45689</v>
      </c>
      <c r="B11" s="18" t="s">
        <v>72</v>
      </c>
      <c r="C11" s="27">
        <v>3820</v>
      </c>
      <c r="D11" t="s">
        <v>114</v>
      </c>
      <c r="E11" s="19" t="s">
        <v>322</v>
      </c>
      <c r="G11" s="18">
        <v>45697</v>
      </c>
      <c r="H11" s="27">
        <f t="shared" si="0"/>
        <v>110</v>
      </c>
    </row>
    <row r="12" spans="1:8" x14ac:dyDescent="0.4">
      <c r="A12" s="18">
        <v>45690</v>
      </c>
      <c r="B12" s="18" t="s">
        <v>73</v>
      </c>
      <c r="C12" s="27">
        <v>1567</v>
      </c>
      <c r="D12" t="s">
        <v>114</v>
      </c>
      <c r="E12" s="19" t="s">
        <v>307</v>
      </c>
      <c r="G12" s="18">
        <v>45698</v>
      </c>
      <c r="H12" s="27">
        <f t="shared" si="0"/>
        <v>26634</v>
      </c>
    </row>
    <row r="13" spans="1:8" x14ac:dyDescent="0.4">
      <c r="A13" s="18">
        <v>45691</v>
      </c>
      <c r="B13" s="18" t="s">
        <v>56</v>
      </c>
      <c r="C13" s="27">
        <v>1980</v>
      </c>
      <c r="D13" t="s">
        <v>205</v>
      </c>
      <c r="E13" s="19" t="s">
        <v>328</v>
      </c>
      <c r="G13" s="18">
        <v>45699</v>
      </c>
      <c r="H13" s="27">
        <f t="shared" si="0"/>
        <v>841</v>
      </c>
    </row>
    <row r="14" spans="1:8" x14ac:dyDescent="0.4">
      <c r="A14" s="18">
        <v>45691</v>
      </c>
      <c r="B14" s="18" t="s">
        <v>56</v>
      </c>
      <c r="C14" s="27">
        <v>1057</v>
      </c>
      <c r="D14" t="s">
        <v>205</v>
      </c>
      <c r="E14" s="19" t="s">
        <v>329</v>
      </c>
      <c r="G14" s="18">
        <v>45700</v>
      </c>
      <c r="H14" s="27">
        <f t="shared" si="0"/>
        <v>13016</v>
      </c>
    </row>
    <row r="15" spans="1:8" x14ac:dyDescent="0.4">
      <c r="A15" s="18">
        <v>45691</v>
      </c>
      <c r="B15" s="18" t="s">
        <v>56</v>
      </c>
      <c r="C15" s="27">
        <v>1166</v>
      </c>
      <c r="D15" t="s">
        <v>114</v>
      </c>
      <c r="E15" s="19" t="s">
        <v>309</v>
      </c>
      <c r="G15" s="18">
        <v>45701</v>
      </c>
      <c r="H15" s="27">
        <f t="shared" si="0"/>
        <v>1379</v>
      </c>
    </row>
    <row r="16" spans="1:8" x14ac:dyDescent="0.4">
      <c r="A16" s="18">
        <v>45691</v>
      </c>
      <c r="B16" s="18" t="s">
        <v>56</v>
      </c>
      <c r="C16" s="27">
        <v>980</v>
      </c>
      <c r="D16" t="s">
        <v>114</v>
      </c>
      <c r="E16" s="19" t="s">
        <v>320</v>
      </c>
      <c r="G16" s="18">
        <v>45702</v>
      </c>
      <c r="H16" s="27">
        <f t="shared" si="0"/>
        <v>833</v>
      </c>
    </row>
    <row r="17" spans="1:8" x14ac:dyDescent="0.4">
      <c r="A17" s="18">
        <v>45692</v>
      </c>
      <c r="B17" s="18" t="s">
        <v>66</v>
      </c>
      <c r="C17" s="27">
        <f>110+70+366</f>
        <v>546</v>
      </c>
      <c r="D17" t="s">
        <v>114</v>
      </c>
      <c r="E17" s="19" t="s">
        <v>309</v>
      </c>
      <c r="G17" s="18">
        <v>45703</v>
      </c>
      <c r="H17" s="27">
        <f t="shared" si="0"/>
        <v>7267</v>
      </c>
    </row>
    <row r="18" spans="1:8" x14ac:dyDescent="0.4">
      <c r="A18" s="18">
        <v>45693</v>
      </c>
      <c r="B18" s="18" t="s">
        <v>67</v>
      </c>
      <c r="C18" s="27">
        <v>980</v>
      </c>
      <c r="D18" t="s">
        <v>58</v>
      </c>
      <c r="E18" s="19" t="s">
        <v>143</v>
      </c>
      <c r="G18" s="18">
        <v>45704</v>
      </c>
      <c r="H18" s="27">
        <f t="shared" si="0"/>
        <v>3022</v>
      </c>
    </row>
    <row r="19" spans="1:8" x14ac:dyDescent="0.4">
      <c r="A19" s="18">
        <v>45694</v>
      </c>
      <c r="B19" s="18" t="s">
        <v>69</v>
      </c>
      <c r="C19" s="27">
        <v>1366</v>
      </c>
      <c r="D19" t="s">
        <v>114</v>
      </c>
      <c r="E19" s="19" t="s">
        <v>309</v>
      </c>
      <c r="G19" s="18">
        <v>45705</v>
      </c>
      <c r="H19" s="27">
        <f t="shared" si="0"/>
        <v>5246</v>
      </c>
    </row>
    <row r="20" spans="1:8" x14ac:dyDescent="0.4">
      <c r="A20" s="18">
        <v>45696</v>
      </c>
      <c r="B20" s="18" t="s">
        <v>72</v>
      </c>
      <c r="C20" s="27">
        <v>5910</v>
      </c>
      <c r="D20" t="s">
        <v>114</v>
      </c>
      <c r="E20" s="19" t="s">
        <v>330</v>
      </c>
      <c r="G20" s="18">
        <v>45706</v>
      </c>
      <c r="H20" s="27">
        <f t="shared" si="0"/>
        <v>0</v>
      </c>
    </row>
    <row r="21" spans="1:8" x14ac:dyDescent="0.4">
      <c r="A21" s="18">
        <v>45697</v>
      </c>
      <c r="B21" s="18" t="s">
        <v>73</v>
      </c>
      <c r="C21" s="27">
        <v>110</v>
      </c>
      <c r="D21" t="s">
        <v>206</v>
      </c>
      <c r="E21" s="19" t="s">
        <v>207</v>
      </c>
      <c r="G21" s="18">
        <v>45707</v>
      </c>
      <c r="H21" s="27">
        <f t="shared" si="0"/>
        <v>0</v>
      </c>
    </row>
    <row r="22" spans="1:8" x14ac:dyDescent="0.4">
      <c r="A22" s="18">
        <v>45698</v>
      </c>
      <c r="B22" s="18" t="s">
        <v>56</v>
      </c>
      <c r="C22" s="27">
        <v>1494</v>
      </c>
      <c r="D22" t="s">
        <v>114</v>
      </c>
      <c r="E22" s="19" t="s">
        <v>307</v>
      </c>
      <c r="G22" s="18">
        <v>45708</v>
      </c>
      <c r="H22" s="27">
        <f t="shared" si="0"/>
        <v>1568</v>
      </c>
    </row>
    <row r="23" spans="1:8" x14ac:dyDescent="0.4">
      <c r="A23" s="18">
        <v>45698</v>
      </c>
      <c r="B23" s="18" t="s">
        <v>56</v>
      </c>
      <c r="C23" s="27">
        <v>110</v>
      </c>
      <c r="D23" t="s">
        <v>206</v>
      </c>
      <c r="E23" s="19" t="s">
        <v>207</v>
      </c>
      <c r="G23" s="18">
        <v>45709</v>
      </c>
      <c r="H23" s="27">
        <f t="shared" si="0"/>
        <v>669</v>
      </c>
    </row>
    <row r="24" spans="1:8" x14ac:dyDescent="0.4">
      <c r="A24" s="18">
        <v>45698</v>
      </c>
      <c r="B24" s="18" t="s">
        <v>56</v>
      </c>
      <c r="C24" s="27">
        <f>346*2</f>
        <v>692</v>
      </c>
      <c r="D24" t="s">
        <v>206</v>
      </c>
      <c r="E24" s="19" t="s">
        <v>305</v>
      </c>
      <c r="G24" s="18">
        <v>45710</v>
      </c>
      <c r="H24" s="27">
        <f t="shared" si="0"/>
        <v>0</v>
      </c>
    </row>
    <row r="25" spans="1:8" x14ac:dyDescent="0.4">
      <c r="A25" s="18">
        <v>45698</v>
      </c>
      <c r="B25" s="18" t="s">
        <v>56</v>
      </c>
      <c r="C25" s="27">
        <v>4100</v>
      </c>
      <c r="D25" t="s">
        <v>252</v>
      </c>
      <c r="E25" s="19" t="s">
        <v>331</v>
      </c>
      <c r="G25" s="18">
        <v>45711</v>
      </c>
      <c r="H25" s="27">
        <f t="shared" si="0"/>
        <v>7575</v>
      </c>
    </row>
    <row r="26" spans="1:8" x14ac:dyDescent="0.4">
      <c r="A26" s="18">
        <v>45698</v>
      </c>
      <c r="B26" s="18" t="s">
        <v>56</v>
      </c>
      <c r="C26" s="27">
        <v>10494</v>
      </c>
      <c r="D26" t="s">
        <v>114</v>
      </c>
      <c r="E26" s="19" t="s">
        <v>332</v>
      </c>
      <c r="G26" s="18">
        <v>45712</v>
      </c>
      <c r="H26" s="27">
        <f t="shared" si="0"/>
        <v>5848</v>
      </c>
    </row>
    <row r="27" spans="1:8" x14ac:dyDescent="0.4">
      <c r="A27" s="18">
        <v>45698</v>
      </c>
      <c r="B27" s="18" t="s">
        <v>56</v>
      </c>
      <c r="C27" s="27">
        <v>9744</v>
      </c>
      <c r="D27" t="s">
        <v>20</v>
      </c>
      <c r="E27" s="19" t="s">
        <v>318</v>
      </c>
      <c r="G27" s="18">
        <v>45713</v>
      </c>
      <c r="H27" s="27">
        <f t="shared" si="0"/>
        <v>1420</v>
      </c>
    </row>
    <row r="28" spans="1:8" x14ac:dyDescent="0.4">
      <c r="A28" s="18">
        <v>45699</v>
      </c>
      <c r="B28" s="18" t="s">
        <v>66</v>
      </c>
      <c r="C28" s="27">
        <v>483</v>
      </c>
      <c r="D28" t="s">
        <v>57</v>
      </c>
      <c r="E28" s="19" t="s">
        <v>333</v>
      </c>
      <c r="G28" s="18">
        <v>45714</v>
      </c>
      <c r="H28" s="27">
        <f t="shared" si="0"/>
        <v>0</v>
      </c>
    </row>
    <row r="29" spans="1:8" x14ac:dyDescent="0.4">
      <c r="A29" s="18">
        <v>45699</v>
      </c>
      <c r="B29" s="18" t="s">
        <v>66</v>
      </c>
      <c r="C29" s="27">
        <v>358</v>
      </c>
      <c r="D29" t="s">
        <v>57</v>
      </c>
      <c r="E29" s="19" t="s">
        <v>335</v>
      </c>
      <c r="G29" s="18">
        <v>45715</v>
      </c>
      <c r="H29" s="27">
        <f t="shared" si="0"/>
        <v>1330</v>
      </c>
    </row>
    <row r="30" spans="1:8" x14ac:dyDescent="0.4">
      <c r="A30" s="18">
        <v>45700</v>
      </c>
      <c r="B30" s="18" t="s">
        <v>67</v>
      </c>
      <c r="C30" s="27">
        <v>3281</v>
      </c>
      <c r="D30" t="s">
        <v>21</v>
      </c>
      <c r="E30" s="19" t="s">
        <v>350</v>
      </c>
      <c r="G30" s="18">
        <v>45716</v>
      </c>
      <c r="H30" s="27">
        <f t="shared" si="0"/>
        <v>19745</v>
      </c>
    </row>
    <row r="31" spans="1:8" x14ac:dyDescent="0.4">
      <c r="A31" s="18">
        <v>45700</v>
      </c>
      <c r="B31" s="18" t="s">
        <v>67</v>
      </c>
      <c r="C31" s="27">
        <v>9735</v>
      </c>
      <c r="D31" t="s">
        <v>20</v>
      </c>
      <c r="E31" s="19" t="s">
        <v>262</v>
      </c>
      <c r="G31" s="18"/>
    </row>
    <row r="32" spans="1:8" x14ac:dyDescent="0.4">
      <c r="A32" s="18">
        <v>45701</v>
      </c>
      <c r="B32" s="18" t="s">
        <v>69</v>
      </c>
      <c r="C32" s="27">
        <v>669</v>
      </c>
      <c r="D32" t="s">
        <v>114</v>
      </c>
      <c r="E32" s="19" t="s">
        <v>309</v>
      </c>
      <c r="G32" s="18"/>
    </row>
    <row r="33" spans="1:7" x14ac:dyDescent="0.4">
      <c r="A33" s="18">
        <v>45701</v>
      </c>
      <c r="B33" s="18" t="s">
        <v>69</v>
      </c>
      <c r="C33" s="27">
        <v>710</v>
      </c>
      <c r="D33" t="s">
        <v>114</v>
      </c>
      <c r="E33" s="19" t="s">
        <v>315</v>
      </c>
      <c r="G33" s="18"/>
    </row>
    <row r="34" spans="1:7" x14ac:dyDescent="0.4">
      <c r="A34" s="18">
        <v>45702</v>
      </c>
      <c r="B34" s="18" t="s">
        <v>71</v>
      </c>
      <c r="C34" s="27">
        <v>833</v>
      </c>
      <c r="D34" t="s">
        <v>114</v>
      </c>
      <c r="E34" s="19" t="s">
        <v>309</v>
      </c>
      <c r="G34" s="18"/>
    </row>
    <row r="35" spans="1:7" x14ac:dyDescent="0.4">
      <c r="A35" s="18">
        <v>45703</v>
      </c>
      <c r="B35" s="18" t="s">
        <v>72</v>
      </c>
      <c r="C35" s="27">
        <v>2970</v>
      </c>
      <c r="D35" t="s">
        <v>58</v>
      </c>
      <c r="E35" s="19" t="s">
        <v>312</v>
      </c>
      <c r="G35" s="18"/>
    </row>
    <row r="36" spans="1:7" x14ac:dyDescent="0.4">
      <c r="A36" s="18">
        <v>45703</v>
      </c>
      <c r="B36" s="18" t="s">
        <v>72</v>
      </c>
      <c r="C36" s="27">
        <v>3050</v>
      </c>
      <c r="D36" t="s">
        <v>114</v>
      </c>
      <c r="E36" s="19" t="s">
        <v>322</v>
      </c>
      <c r="G36" s="18"/>
    </row>
    <row r="37" spans="1:7" x14ac:dyDescent="0.4">
      <c r="A37" s="18">
        <v>45703</v>
      </c>
      <c r="B37" s="18" t="s">
        <v>72</v>
      </c>
      <c r="C37" s="27">
        <v>809</v>
      </c>
      <c r="D37" t="s">
        <v>57</v>
      </c>
      <c r="E37" s="19" t="s">
        <v>336</v>
      </c>
      <c r="G37" s="18"/>
    </row>
    <row r="38" spans="1:7" x14ac:dyDescent="0.4">
      <c r="A38" s="18">
        <v>45703</v>
      </c>
      <c r="B38" s="18" t="s">
        <v>72</v>
      </c>
      <c r="C38" s="27">
        <v>438</v>
      </c>
      <c r="D38" t="s">
        <v>57</v>
      </c>
      <c r="E38" s="19" t="s">
        <v>337</v>
      </c>
      <c r="G38" s="18"/>
    </row>
    <row r="39" spans="1:7" x14ac:dyDescent="0.4">
      <c r="A39" s="18">
        <v>45704</v>
      </c>
      <c r="B39" s="18" t="s">
        <v>73</v>
      </c>
      <c r="C39" s="27">
        <v>990</v>
      </c>
      <c r="D39" t="s">
        <v>209</v>
      </c>
      <c r="E39" s="19" t="s">
        <v>321</v>
      </c>
      <c r="G39" s="18"/>
    </row>
    <row r="40" spans="1:7" x14ac:dyDescent="0.4">
      <c r="A40" s="18">
        <v>45704</v>
      </c>
      <c r="B40" s="18" t="s">
        <v>73</v>
      </c>
      <c r="C40" s="27">
        <v>1067</v>
      </c>
      <c r="D40" t="s">
        <v>114</v>
      </c>
      <c r="E40" s="19" t="s">
        <v>307</v>
      </c>
      <c r="G40" s="18"/>
    </row>
    <row r="41" spans="1:7" x14ac:dyDescent="0.4">
      <c r="A41" s="18">
        <v>45704</v>
      </c>
      <c r="B41" s="18" t="s">
        <v>73</v>
      </c>
      <c r="C41" s="27">
        <v>965</v>
      </c>
      <c r="D41" t="s">
        <v>57</v>
      </c>
      <c r="E41" s="19" t="s">
        <v>338</v>
      </c>
      <c r="G41" s="18"/>
    </row>
    <row r="42" spans="1:7" x14ac:dyDescent="0.4">
      <c r="A42" s="18">
        <v>45705</v>
      </c>
      <c r="B42" s="18" t="s">
        <v>56</v>
      </c>
      <c r="C42" s="17">
        <v>3723</v>
      </c>
      <c r="D42" t="s">
        <v>20</v>
      </c>
      <c r="E42" s="19" t="s">
        <v>112</v>
      </c>
      <c r="G42" s="18"/>
    </row>
    <row r="43" spans="1:7" x14ac:dyDescent="0.4">
      <c r="A43" s="18">
        <v>45705</v>
      </c>
      <c r="B43" s="18" t="s">
        <v>56</v>
      </c>
      <c r="C43" s="27">
        <v>275</v>
      </c>
      <c r="D43" t="s">
        <v>57</v>
      </c>
      <c r="E43" s="19" t="s">
        <v>334</v>
      </c>
      <c r="G43" s="18"/>
    </row>
    <row r="44" spans="1:7" x14ac:dyDescent="0.4">
      <c r="A44" s="18">
        <v>45705</v>
      </c>
      <c r="B44" s="18" t="s">
        <v>56</v>
      </c>
      <c r="C44" s="17">
        <v>488</v>
      </c>
      <c r="D44" t="s">
        <v>114</v>
      </c>
      <c r="E44" s="19" t="s">
        <v>309</v>
      </c>
      <c r="G44" s="18"/>
    </row>
    <row r="45" spans="1:7" x14ac:dyDescent="0.4">
      <c r="A45" s="18">
        <v>45705</v>
      </c>
      <c r="B45" s="18" t="s">
        <v>56</v>
      </c>
      <c r="C45" s="27">
        <v>690</v>
      </c>
      <c r="D45" t="s">
        <v>114</v>
      </c>
      <c r="E45" s="19" t="s">
        <v>315</v>
      </c>
      <c r="G45" s="18"/>
    </row>
    <row r="46" spans="1:7" x14ac:dyDescent="0.4">
      <c r="A46" s="18">
        <v>45705</v>
      </c>
      <c r="B46" s="18" t="s">
        <v>56</v>
      </c>
      <c r="C46" s="27">
        <v>70</v>
      </c>
      <c r="D46" t="s">
        <v>114</v>
      </c>
      <c r="E46" s="19" t="s">
        <v>212</v>
      </c>
      <c r="G46" s="18"/>
    </row>
    <row r="47" spans="1:7" x14ac:dyDescent="0.4">
      <c r="A47" s="18">
        <v>45708</v>
      </c>
      <c r="B47" s="18" t="s">
        <v>69</v>
      </c>
      <c r="C47" s="17">
        <v>488</v>
      </c>
      <c r="D47" t="s">
        <v>114</v>
      </c>
      <c r="E47" s="19" t="s">
        <v>309</v>
      </c>
      <c r="G47" s="18"/>
    </row>
    <row r="48" spans="1:7" x14ac:dyDescent="0.4">
      <c r="A48" s="18">
        <v>45708</v>
      </c>
      <c r="B48" s="18" t="s">
        <v>69</v>
      </c>
      <c r="C48" s="27">
        <v>90</v>
      </c>
      <c r="D48" t="s">
        <v>114</v>
      </c>
      <c r="E48" s="19" t="s">
        <v>186</v>
      </c>
      <c r="G48" s="18"/>
    </row>
    <row r="49" spans="1:7" x14ac:dyDescent="0.4">
      <c r="A49" s="18">
        <v>45708</v>
      </c>
      <c r="B49" s="18" t="s">
        <v>69</v>
      </c>
      <c r="C49" s="27">
        <v>990</v>
      </c>
      <c r="D49" t="s">
        <v>114</v>
      </c>
      <c r="E49" s="19" t="s">
        <v>320</v>
      </c>
      <c r="G49" s="18"/>
    </row>
    <row r="50" spans="1:7" x14ac:dyDescent="0.4">
      <c r="A50" s="18">
        <v>45709</v>
      </c>
      <c r="B50" s="18" t="s">
        <v>71</v>
      </c>
      <c r="C50" s="17">
        <v>669</v>
      </c>
      <c r="D50" t="s">
        <v>114</v>
      </c>
      <c r="E50" s="19" t="s">
        <v>309</v>
      </c>
      <c r="G50" s="18"/>
    </row>
    <row r="51" spans="1:7" x14ac:dyDescent="0.4">
      <c r="A51" s="18">
        <v>45710</v>
      </c>
      <c r="B51" s="18" t="s">
        <v>72</v>
      </c>
      <c r="C51" s="27">
        <f>3797-3797</f>
        <v>0</v>
      </c>
      <c r="D51" t="s">
        <v>252</v>
      </c>
      <c r="E51" s="19" t="s">
        <v>312</v>
      </c>
      <c r="G51" s="18"/>
    </row>
    <row r="52" spans="1:7" x14ac:dyDescent="0.4">
      <c r="A52" s="18">
        <v>45711</v>
      </c>
      <c r="B52" s="18" t="s">
        <v>73</v>
      </c>
      <c r="C52" s="27">
        <v>1400</v>
      </c>
      <c r="D52" t="s">
        <v>57</v>
      </c>
      <c r="E52" s="19" t="s">
        <v>339</v>
      </c>
      <c r="G52" s="18"/>
    </row>
    <row r="53" spans="1:7" x14ac:dyDescent="0.4">
      <c r="A53" s="18">
        <v>45711</v>
      </c>
      <c r="B53" s="18" t="s">
        <v>73</v>
      </c>
      <c r="C53" s="27">
        <v>110</v>
      </c>
      <c r="D53" t="s">
        <v>48</v>
      </c>
      <c r="E53" t="s">
        <v>215</v>
      </c>
      <c r="G53" s="18"/>
    </row>
    <row r="54" spans="1:7" x14ac:dyDescent="0.4">
      <c r="A54" s="18">
        <v>45711</v>
      </c>
      <c r="B54" s="18" t="s">
        <v>73</v>
      </c>
      <c r="C54" s="27">
        <f>252*2</f>
        <v>504</v>
      </c>
      <c r="D54" t="s">
        <v>48</v>
      </c>
      <c r="E54" s="19" t="s">
        <v>305</v>
      </c>
      <c r="G54" s="18"/>
    </row>
    <row r="55" spans="1:7" x14ac:dyDescent="0.4">
      <c r="A55" s="18">
        <v>45711</v>
      </c>
      <c r="B55" s="18" t="s">
        <v>73</v>
      </c>
      <c r="C55" s="27">
        <v>1550</v>
      </c>
      <c r="D55" t="s">
        <v>114</v>
      </c>
      <c r="E55" s="19" t="s">
        <v>340</v>
      </c>
      <c r="G55" s="18"/>
    </row>
    <row r="56" spans="1:7" x14ac:dyDescent="0.4">
      <c r="A56" s="18">
        <v>45711</v>
      </c>
      <c r="B56" s="18" t="s">
        <v>73</v>
      </c>
      <c r="C56" s="27">
        <v>2761</v>
      </c>
      <c r="D56" t="s">
        <v>57</v>
      </c>
      <c r="E56" s="19" t="s">
        <v>216</v>
      </c>
      <c r="G56" s="18"/>
    </row>
    <row r="57" spans="1:7" x14ac:dyDescent="0.4">
      <c r="A57" s="18">
        <v>45711</v>
      </c>
      <c r="B57" s="18" t="s">
        <v>73</v>
      </c>
      <c r="C57" s="27">
        <v>1250</v>
      </c>
      <c r="D57" t="s">
        <v>114</v>
      </c>
      <c r="E57" s="19" t="s">
        <v>311</v>
      </c>
      <c r="G57" s="18"/>
    </row>
    <row r="58" spans="1:7" x14ac:dyDescent="0.4">
      <c r="A58" s="18">
        <v>45712</v>
      </c>
      <c r="B58" s="18" t="s">
        <v>56</v>
      </c>
      <c r="C58" s="27">
        <v>2950</v>
      </c>
      <c r="D58" t="s">
        <v>114</v>
      </c>
      <c r="E58" t="s">
        <v>340</v>
      </c>
      <c r="G58" s="18"/>
    </row>
    <row r="59" spans="1:7" x14ac:dyDescent="0.4">
      <c r="A59" s="18">
        <v>45712</v>
      </c>
      <c r="B59" s="18" t="s">
        <v>56</v>
      </c>
      <c r="C59" s="27">
        <v>560</v>
      </c>
      <c r="D59" t="s">
        <v>114</v>
      </c>
      <c r="E59" t="s">
        <v>320</v>
      </c>
      <c r="G59" s="18"/>
    </row>
    <row r="60" spans="1:7" x14ac:dyDescent="0.4">
      <c r="A60" s="18">
        <v>45712</v>
      </c>
      <c r="B60" s="18" t="s">
        <v>56</v>
      </c>
      <c r="C60" s="27">
        <v>2338</v>
      </c>
      <c r="D60" t="s">
        <v>114</v>
      </c>
      <c r="E60" s="19" t="s">
        <v>307</v>
      </c>
      <c r="G60" s="18"/>
    </row>
    <row r="61" spans="1:7" x14ac:dyDescent="0.4">
      <c r="A61" s="18">
        <v>45713</v>
      </c>
      <c r="B61" s="18" t="s">
        <v>66</v>
      </c>
      <c r="C61" s="27">
        <v>1420</v>
      </c>
      <c r="D61" t="s">
        <v>114</v>
      </c>
      <c r="E61" s="19" t="s">
        <v>309</v>
      </c>
      <c r="G61" s="18"/>
    </row>
    <row r="62" spans="1:7" x14ac:dyDescent="0.4">
      <c r="A62" s="18">
        <v>45715</v>
      </c>
      <c r="B62" s="18" t="s">
        <v>69</v>
      </c>
      <c r="C62" s="27">
        <v>1330</v>
      </c>
      <c r="D62" t="s">
        <v>114</v>
      </c>
      <c r="E62" s="19" t="s">
        <v>309</v>
      </c>
      <c r="G62" s="18"/>
    </row>
    <row r="63" spans="1:7" x14ac:dyDescent="0.4">
      <c r="A63" s="18">
        <v>45716</v>
      </c>
      <c r="B63" s="18" t="s">
        <v>71</v>
      </c>
      <c r="C63" s="27">
        <v>7770</v>
      </c>
      <c r="D63" t="s">
        <v>252</v>
      </c>
      <c r="E63" s="19" t="s">
        <v>326</v>
      </c>
      <c r="G63" s="18"/>
    </row>
    <row r="64" spans="1:7" x14ac:dyDescent="0.4">
      <c r="A64" s="18">
        <v>45716</v>
      </c>
      <c r="B64" s="18" t="s">
        <v>71</v>
      </c>
      <c r="C64" s="27">
        <v>110</v>
      </c>
      <c r="D64" t="s">
        <v>114</v>
      </c>
      <c r="E64" s="19" t="s">
        <v>186</v>
      </c>
      <c r="G64" s="18"/>
    </row>
    <row r="65" spans="1:7" x14ac:dyDescent="0.4">
      <c r="A65" s="18">
        <v>45716</v>
      </c>
      <c r="B65" s="18" t="s">
        <v>71</v>
      </c>
      <c r="C65" s="27">
        <v>1000</v>
      </c>
      <c r="D65" t="s">
        <v>114</v>
      </c>
      <c r="E65" s="19" t="s">
        <v>320</v>
      </c>
      <c r="G65" s="18"/>
    </row>
    <row r="66" spans="1:7" x14ac:dyDescent="0.4">
      <c r="A66" s="18">
        <v>45716</v>
      </c>
      <c r="B66" s="18" t="s">
        <v>71</v>
      </c>
      <c r="C66" s="27">
        <v>167</v>
      </c>
      <c r="D66" t="s">
        <v>48</v>
      </c>
      <c r="E66" s="19" t="s">
        <v>303</v>
      </c>
      <c r="G66" s="18"/>
    </row>
    <row r="67" spans="1:7" x14ac:dyDescent="0.4">
      <c r="A67" s="18">
        <v>45716</v>
      </c>
      <c r="B67" s="18" t="s">
        <v>71</v>
      </c>
      <c r="C67" s="27">
        <v>2178</v>
      </c>
      <c r="D67" t="s">
        <v>58</v>
      </c>
      <c r="E67" s="19" t="s">
        <v>312</v>
      </c>
    </row>
    <row r="68" spans="1:7" x14ac:dyDescent="0.4">
      <c r="A68" s="18">
        <v>45716</v>
      </c>
      <c r="B68" s="18" t="s">
        <v>71</v>
      </c>
      <c r="C68" s="27">
        <v>520</v>
      </c>
      <c r="D68" t="s">
        <v>114</v>
      </c>
      <c r="E68" s="19" t="s">
        <v>341</v>
      </c>
    </row>
    <row r="69" spans="1:7" x14ac:dyDescent="0.4">
      <c r="A69" s="18">
        <v>45716</v>
      </c>
      <c r="B69" s="18" t="s">
        <v>71</v>
      </c>
      <c r="C69" s="27">
        <v>8000</v>
      </c>
      <c r="D69" t="s">
        <v>220</v>
      </c>
      <c r="E69" s="19" t="s">
        <v>342</v>
      </c>
    </row>
    <row r="70" spans="1:7" x14ac:dyDescent="0.4">
      <c r="A70" s="18"/>
      <c r="B70" s="18"/>
    </row>
    <row r="71" spans="1:7" x14ac:dyDescent="0.4">
      <c r="A71" s="18"/>
      <c r="B71" s="18"/>
    </row>
  </sheetData>
  <autoFilter ref="A2:E71" xr:uid="{FE420C23-5E4E-496D-BF2A-114E9978796D}"/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6370F-037A-40E4-B8D2-393576C5D1D8}">
  <sheetPr codeName="Sheet22"/>
  <dimension ref="A1:H92"/>
  <sheetViews>
    <sheetView workbookViewId="0">
      <pane ySplit="2" topLeftCell="A3" activePane="bottomLeft" state="frozen"/>
      <selection activeCell="E30" sqref="E30"/>
      <selection pane="bottomLeft" activeCell="E93" sqref="E93"/>
    </sheetView>
  </sheetViews>
  <sheetFormatPr defaultRowHeight="18.75" x14ac:dyDescent="0.4"/>
  <cols>
    <col min="2" max="2" width="4.875" bestFit="1" customWidth="1"/>
    <col min="3" max="3" width="9" style="27"/>
    <col min="4" max="4" width="18.25" bestFit="1" customWidth="1"/>
    <col min="5" max="5" width="35.875" style="19" bestFit="1" customWidth="1"/>
    <col min="8" max="8" width="9" style="27"/>
  </cols>
  <sheetData>
    <row r="1" spans="1:8" x14ac:dyDescent="0.4">
      <c r="C1" s="27">
        <f>SUM(C3:C195)</f>
        <v>408264</v>
      </c>
      <c r="H1" s="27">
        <f>SUM(H3:H195)</f>
        <v>407595</v>
      </c>
    </row>
    <row r="2" spans="1:8" x14ac:dyDescent="0.4">
      <c r="A2" s="20" t="s">
        <v>50</v>
      </c>
      <c r="B2" s="20" t="s">
        <v>55</v>
      </c>
      <c r="C2" s="28" t="s">
        <v>52</v>
      </c>
      <c r="D2" s="20" t="s">
        <v>51</v>
      </c>
      <c r="E2" s="21" t="s">
        <v>53</v>
      </c>
      <c r="G2" s="20" t="s">
        <v>50</v>
      </c>
      <c r="H2" s="28" t="s">
        <v>52</v>
      </c>
    </row>
    <row r="3" spans="1:8" x14ac:dyDescent="0.4">
      <c r="A3" s="18">
        <v>45717</v>
      </c>
      <c r="B3" s="18" t="s">
        <v>182</v>
      </c>
      <c r="C3" s="27">
        <v>100000</v>
      </c>
      <c r="D3" t="s">
        <v>97</v>
      </c>
      <c r="E3" s="19" t="s">
        <v>90</v>
      </c>
      <c r="G3" s="18">
        <v>45717</v>
      </c>
      <c r="H3" s="27">
        <f t="shared" ref="H3:H33" si="0">SUMIF($A$3:$A$243,$G3,$C$3:$C$243)</f>
        <v>274607</v>
      </c>
    </row>
    <row r="4" spans="1:8" x14ac:dyDescent="0.4">
      <c r="A4" s="18">
        <v>45717</v>
      </c>
      <c r="B4" s="18" t="s">
        <v>182</v>
      </c>
      <c r="C4" s="27">
        <v>150000</v>
      </c>
      <c r="D4" t="s">
        <v>42</v>
      </c>
      <c r="E4" t="s">
        <v>42</v>
      </c>
      <c r="G4" s="18">
        <v>45718</v>
      </c>
      <c r="H4" s="27">
        <f t="shared" si="0"/>
        <v>2917</v>
      </c>
    </row>
    <row r="5" spans="1:8" x14ac:dyDescent="0.4">
      <c r="A5" s="18">
        <v>45717</v>
      </c>
      <c r="B5" s="18" t="s">
        <v>72</v>
      </c>
      <c r="C5" s="27">
        <f>4277</f>
        <v>4277</v>
      </c>
      <c r="D5" t="s">
        <v>58</v>
      </c>
      <c r="E5" s="19" t="s">
        <v>299</v>
      </c>
      <c r="G5" s="18">
        <v>45719</v>
      </c>
      <c r="H5" s="27">
        <f t="shared" si="0"/>
        <v>1420</v>
      </c>
    </row>
    <row r="6" spans="1:8" x14ac:dyDescent="0.4">
      <c r="A6" s="18">
        <v>45717</v>
      </c>
      <c r="B6" s="18" t="s">
        <v>72</v>
      </c>
      <c r="C6" s="27">
        <v>3850</v>
      </c>
      <c r="D6" t="s">
        <v>21</v>
      </c>
      <c r="E6" s="19" t="s">
        <v>302</v>
      </c>
      <c r="G6" s="18">
        <v>45720</v>
      </c>
      <c r="H6" s="27">
        <f t="shared" si="0"/>
        <v>14861</v>
      </c>
    </row>
    <row r="7" spans="1:8" x14ac:dyDescent="0.4">
      <c r="A7" s="18">
        <v>45717</v>
      </c>
      <c r="B7" s="18" t="s">
        <v>72</v>
      </c>
      <c r="C7" s="27">
        <v>3110</v>
      </c>
      <c r="D7" t="s">
        <v>25</v>
      </c>
      <c r="E7" s="19" t="s">
        <v>297</v>
      </c>
      <c r="G7" s="18">
        <v>45721</v>
      </c>
      <c r="H7" s="27">
        <f t="shared" si="0"/>
        <v>980</v>
      </c>
    </row>
    <row r="8" spans="1:8" x14ac:dyDescent="0.4">
      <c r="A8" s="18">
        <v>45717</v>
      </c>
      <c r="B8" s="18" t="s">
        <v>72</v>
      </c>
      <c r="C8" s="27">
        <v>3610</v>
      </c>
      <c r="D8" t="s">
        <v>25</v>
      </c>
      <c r="E8" s="19" t="s">
        <v>298</v>
      </c>
      <c r="G8" s="18">
        <v>45722</v>
      </c>
      <c r="H8" s="27">
        <f t="shared" si="0"/>
        <v>3620</v>
      </c>
    </row>
    <row r="9" spans="1:8" x14ac:dyDescent="0.4">
      <c r="A9" s="18">
        <v>45717</v>
      </c>
      <c r="B9" s="18" t="s">
        <v>72</v>
      </c>
      <c r="C9" s="27">
        <v>360</v>
      </c>
      <c r="D9" t="s">
        <v>25</v>
      </c>
      <c r="E9" s="19" t="s">
        <v>301</v>
      </c>
      <c r="G9" s="18">
        <v>45723</v>
      </c>
      <c r="H9" s="27">
        <f t="shared" si="0"/>
        <v>11721</v>
      </c>
    </row>
    <row r="10" spans="1:8" x14ac:dyDescent="0.4">
      <c r="A10" s="18">
        <v>45717</v>
      </c>
      <c r="B10" s="18" t="s">
        <v>72</v>
      </c>
      <c r="C10" s="27">
        <f>1800+3470</f>
        <v>5270</v>
      </c>
      <c r="D10" t="s">
        <v>25</v>
      </c>
      <c r="E10" s="19" t="s">
        <v>301</v>
      </c>
      <c r="G10" s="18">
        <v>45724</v>
      </c>
      <c r="H10" s="27">
        <f t="shared" si="0"/>
        <v>8404</v>
      </c>
    </row>
    <row r="11" spans="1:8" x14ac:dyDescent="0.4">
      <c r="A11" s="18">
        <v>45717</v>
      </c>
      <c r="B11" s="18" t="s">
        <v>72</v>
      </c>
      <c r="C11" s="27">
        <v>110</v>
      </c>
      <c r="D11" t="s">
        <v>221</v>
      </c>
      <c r="E11" s="19" t="s">
        <v>222</v>
      </c>
      <c r="G11" s="18">
        <v>45725</v>
      </c>
      <c r="H11" s="27">
        <f t="shared" si="0"/>
        <v>1604</v>
      </c>
    </row>
    <row r="12" spans="1:8" x14ac:dyDescent="0.4">
      <c r="A12" s="18">
        <v>45717</v>
      </c>
      <c r="B12" s="18" t="s">
        <v>72</v>
      </c>
      <c r="C12" s="27">
        <v>406</v>
      </c>
      <c r="D12" t="s">
        <v>221</v>
      </c>
      <c r="E12" s="19" t="s">
        <v>303</v>
      </c>
      <c r="G12" s="18">
        <v>45726</v>
      </c>
      <c r="H12" s="27">
        <f t="shared" si="0"/>
        <v>11448</v>
      </c>
    </row>
    <row r="13" spans="1:8" x14ac:dyDescent="0.4">
      <c r="A13" s="18">
        <v>45717</v>
      </c>
      <c r="B13" s="18" t="s">
        <v>72</v>
      </c>
      <c r="C13" s="27">
        <v>167</v>
      </c>
      <c r="D13" t="s">
        <v>221</v>
      </c>
      <c r="E13" t="s">
        <v>303</v>
      </c>
      <c r="G13" s="18">
        <v>45727</v>
      </c>
      <c r="H13" s="27">
        <f t="shared" si="0"/>
        <v>0</v>
      </c>
    </row>
    <row r="14" spans="1:8" x14ac:dyDescent="0.4">
      <c r="A14" s="18">
        <v>45717</v>
      </c>
      <c r="B14" s="18" t="s">
        <v>72</v>
      </c>
      <c r="C14" s="27">
        <v>760</v>
      </c>
      <c r="D14" t="s">
        <v>221</v>
      </c>
      <c r="E14" s="19" t="s">
        <v>223</v>
      </c>
      <c r="G14" s="18">
        <v>45728</v>
      </c>
      <c r="H14" s="27">
        <f t="shared" si="0"/>
        <v>530</v>
      </c>
    </row>
    <row r="15" spans="1:8" x14ac:dyDescent="0.4">
      <c r="A15" s="18">
        <v>45717</v>
      </c>
      <c r="B15" s="18" t="s">
        <v>72</v>
      </c>
      <c r="C15" s="27">
        <v>2077</v>
      </c>
      <c r="D15" t="s">
        <v>224</v>
      </c>
      <c r="E15" s="19" t="s">
        <v>341</v>
      </c>
      <c r="G15" s="18">
        <v>45729</v>
      </c>
      <c r="H15" s="27">
        <f t="shared" si="0"/>
        <v>9950</v>
      </c>
    </row>
    <row r="16" spans="1:8" x14ac:dyDescent="0.4">
      <c r="A16" s="18">
        <v>45717</v>
      </c>
      <c r="B16" s="18" t="s">
        <v>72</v>
      </c>
      <c r="C16" s="27">
        <v>210</v>
      </c>
      <c r="D16" t="s">
        <v>221</v>
      </c>
      <c r="E16" s="19" t="s">
        <v>304</v>
      </c>
      <c r="G16" s="18">
        <v>45730</v>
      </c>
      <c r="H16" s="27">
        <f t="shared" si="0"/>
        <v>110</v>
      </c>
    </row>
    <row r="17" spans="1:8" x14ac:dyDescent="0.4">
      <c r="A17" s="18">
        <v>45717</v>
      </c>
      <c r="B17" s="18" t="s">
        <v>72</v>
      </c>
      <c r="C17" s="27">
        <v>400</v>
      </c>
      <c r="D17" t="s">
        <v>225</v>
      </c>
      <c r="E17" s="19" t="s">
        <v>226</v>
      </c>
      <c r="G17" s="18">
        <v>45731</v>
      </c>
      <c r="H17" s="27">
        <f t="shared" si="0"/>
        <v>8168</v>
      </c>
    </row>
    <row r="18" spans="1:8" x14ac:dyDescent="0.4">
      <c r="A18" s="18">
        <v>45718</v>
      </c>
      <c r="B18" s="18" t="s">
        <v>73</v>
      </c>
      <c r="C18" s="27">
        <f>1867-432</f>
        <v>1435</v>
      </c>
      <c r="D18" t="s">
        <v>57</v>
      </c>
      <c r="E18" s="19" t="s">
        <v>344</v>
      </c>
      <c r="G18" s="18">
        <v>45732</v>
      </c>
      <c r="H18" s="27">
        <f t="shared" si="0"/>
        <v>2206</v>
      </c>
    </row>
    <row r="19" spans="1:8" x14ac:dyDescent="0.4">
      <c r="A19" s="18">
        <v>45718</v>
      </c>
      <c r="B19" s="18" t="s">
        <v>73</v>
      </c>
      <c r="C19" s="27">
        <v>432</v>
      </c>
      <c r="D19" t="s">
        <v>114</v>
      </c>
      <c r="E19" s="19" t="s">
        <v>344</v>
      </c>
      <c r="G19" s="18">
        <v>45733</v>
      </c>
      <c r="H19" s="27">
        <f t="shared" si="0"/>
        <v>3300</v>
      </c>
    </row>
    <row r="20" spans="1:8" x14ac:dyDescent="0.4">
      <c r="A20" s="18">
        <v>45718</v>
      </c>
      <c r="B20" s="18" t="s">
        <v>73</v>
      </c>
      <c r="C20" s="27">
        <v>1050</v>
      </c>
      <c r="D20" t="s">
        <v>114</v>
      </c>
      <c r="E20" s="19" t="s">
        <v>320</v>
      </c>
      <c r="G20" s="18">
        <v>45734</v>
      </c>
      <c r="H20" s="27">
        <f t="shared" si="0"/>
        <v>669</v>
      </c>
    </row>
    <row r="21" spans="1:8" x14ac:dyDescent="0.4">
      <c r="A21" s="18">
        <v>45719</v>
      </c>
      <c r="B21" s="18" t="s">
        <v>56</v>
      </c>
      <c r="C21" s="27">
        <v>1420</v>
      </c>
      <c r="D21" t="s">
        <v>114</v>
      </c>
      <c r="E21" s="19" t="s">
        <v>309</v>
      </c>
      <c r="G21" s="18">
        <v>45735</v>
      </c>
      <c r="H21" s="27">
        <f t="shared" si="0"/>
        <v>7568</v>
      </c>
    </row>
    <row r="22" spans="1:8" x14ac:dyDescent="0.4">
      <c r="A22" s="18">
        <v>45720</v>
      </c>
      <c r="B22" s="18" t="s">
        <v>66</v>
      </c>
      <c r="C22" s="27">
        <f>110+70+110</f>
        <v>290</v>
      </c>
      <c r="D22" t="s">
        <v>114</v>
      </c>
      <c r="E22" s="19" t="s">
        <v>227</v>
      </c>
      <c r="G22" s="18">
        <v>45736</v>
      </c>
      <c r="H22" s="27">
        <f t="shared" si="0"/>
        <v>3986</v>
      </c>
    </row>
    <row r="23" spans="1:8" x14ac:dyDescent="0.4">
      <c r="A23" s="18">
        <v>45720</v>
      </c>
      <c r="B23" s="18" t="s">
        <v>66</v>
      </c>
      <c r="C23" s="27">
        <v>100</v>
      </c>
      <c r="D23" t="s">
        <v>114</v>
      </c>
      <c r="E23" s="19" t="s">
        <v>345</v>
      </c>
      <c r="G23" s="18">
        <v>45737</v>
      </c>
      <c r="H23" s="27">
        <f t="shared" si="0"/>
        <v>0</v>
      </c>
    </row>
    <row r="24" spans="1:8" x14ac:dyDescent="0.4">
      <c r="A24" s="18">
        <v>45720</v>
      </c>
      <c r="B24" s="18" t="s">
        <v>66</v>
      </c>
      <c r="C24" s="27">
        <v>2530</v>
      </c>
      <c r="D24" t="s">
        <v>252</v>
      </c>
      <c r="E24" s="19" t="s">
        <v>312</v>
      </c>
      <c r="G24" s="18">
        <v>45738</v>
      </c>
      <c r="H24" s="27">
        <f t="shared" si="0"/>
        <v>2811</v>
      </c>
    </row>
    <row r="25" spans="1:8" x14ac:dyDescent="0.4">
      <c r="A25" s="18">
        <v>45720</v>
      </c>
      <c r="B25" s="18" t="s">
        <v>66</v>
      </c>
      <c r="C25" s="27">
        <v>3080</v>
      </c>
      <c r="D25" t="s">
        <v>58</v>
      </c>
      <c r="E25" s="19" t="s">
        <v>312</v>
      </c>
      <c r="G25" s="18">
        <v>45739</v>
      </c>
      <c r="H25" s="27">
        <f t="shared" si="0"/>
        <v>8912</v>
      </c>
    </row>
    <row r="26" spans="1:8" x14ac:dyDescent="0.4">
      <c r="A26" s="18">
        <v>45720</v>
      </c>
      <c r="B26" s="18" t="s">
        <v>66</v>
      </c>
      <c r="C26" s="27">
        <v>6085</v>
      </c>
      <c r="D26" t="s">
        <v>252</v>
      </c>
      <c r="E26" s="19" t="s">
        <v>312</v>
      </c>
      <c r="G26" s="18">
        <v>45740</v>
      </c>
      <c r="H26" s="27">
        <f t="shared" si="0"/>
        <v>0</v>
      </c>
    </row>
    <row r="27" spans="1:8" x14ac:dyDescent="0.4">
      <c r="A27" s="18">
        <v>45720</v>
      </c>
      <c r="B27" s="18" t="s">
        <v>66</v>
      </c>
      <c r="C27" s="27">
        <f>2640-2000</f>
        <v>640</v>
      </c>
      <c r="D27" t="s">
        <v>58</v>
      </c>
      <c r="E27" s="19" t="s">
        <v>312</v>
      </c>
      <c r="G27" s="18">
        <v>45741</v>
      </c>
      <c r="H27" s="27">
        <f t="shared" si="0"/>
        <v>4070</v>
      </c>
    </row>
    <row r="28" spans="1:8" x14ac:dyDescent="0.4">
      <c r="A28" s="18">
        <v>45720</v>
      </c>
      <c r="B28" s="18" t="s">
        <v>66</v>
      </c>
      <c r="C28" s="27">
        <v>2136</v>
      </c>
      <c r="D28" t="s">
        <v>252</v>
      </c>
      <c r="E28" s="19" t="s">
        <v>346</v>
      </c>
      <c r="G28" s="18">
        <v>45742</v>
      </c>
      <c r="H28" s="27">
        <f t="shared" si="0"/>
        <v>0</v>
      </c>
    </row>
    <row r="29" spans="1:8" x14ac:dyDescent="0.4">
      <c r="A29" s="18">
        <v>45721</v>
      </c>
      <c r="B29" s="18" t="s">
        <v>67</v>
      </c>
      <c r="C29" s="27">
        <v>980</v>
      </c>
      <c r="D29" t="s">
        <v>58</v>
      </c>
      <c r="E29" s="19" t="s">
        <v>143</v>
      </c>
      <c r="G29" s="18">
        <v>45743</v>
      </c>
      <c r="H29" s="27">
        <f t="shared" si="0"/>
        <v>2093</v>
      </c>
    </row>
    <row r="30" spans="1:8" x14ac:dyDescent="0.4">
      <c r="A30" s="18">
        <v>45722</v>
      </c>
      <c r="B30" s="18" t="s">
        <v>69</v>
      </c>
      <c r="C30" s="27">
        <v>1420</v>
      </c>
      <c r="D30" t="s">
        <v>114</v>
      </c>
      <c r="E30" s="19" t="s">
        <v>309</v>
      </c>
      <c r="G30" s="18">
        <v>45744</v>
      </c>
      <c r="H30" s="27">
        <f t="shared" si="0"/>
        <v>10219</v>
      </c>
    </row>
    <row r="31" spans="1:8" x14ac:dyDescent="0.4">
      <c r="A31" s="18">
        <v>45722</v>
      </c>
      <c r="B31" s="18" t="s">
        <v>69</v>
      </c>
      <c r="C31" s="27">
        <v>2200</v>
      </c>
      <c r="D31" t="s">
        <v>21</v>
      </c>
      <c r="E31" s="19" t="s">
        <v>347</v>
      </c>
      <c r="G31" s="18">
        <v>45745</v>
      </c>
      <c r="H31" s="27">
        <f t="shared" si="0"/>
        <v>8112</v>
      </c>
    </row>
    <row r="32" spans="1:8" x14ac:dyDescent="0.4">
      <c r="A32" s="18">
        <v>45723</v>
      </c>
      <c r="B32" s="18" t="s">
        <v>71</v>
      </c>
      <c r="C32" s="27">
        <v>11721</v>
      </c>
      <c r="D32" t="s">
        <v>20</v>
      </c>
      <c r="E32" s="19" t="s">
        <v>88</v>
      </c>
      <c r="G32" s="18">
        <v>45746</v>
      </c>
      <c r="H32" s="27">
        <f t="shared" si="0"/>
        <v>1734</v>
      </c>
    </row>
    <row r="33" spans="1:8" x14ac:dyDescent="0.4">
      <c r="A33" s="18">
        <v>45724</v>
      </c>
      <c r="B33" s="18" t="s">
        <v>72</v>
      </c>
      <c r="C33" s="27">
        <v>220</v>
      </c>
      <c r="D33" t="s">
        <v>48</v>
      </c>
      <c r="E33" s="19" t="s">
        <v>185</v>
      </c>
      <c r="G33" s="18">
        <v>45747</v>
      </c>
      <c r="H33" s="27">
        <f t="shared" si="0"/>
        <v>1575</v>
      </c>
    </row>
    <row r="34" spans="1:8" x14ac:dyDescent="0.4">
      <c r="A34" s="18">
        <v>45724</v>
      </c>
      <c r="B34" s="18" t="s">
        <v>72</v>
      </c>
      <c r="C34" s="27">
        <v>324</v>
      </c>
      <c r="D34" t="s">
        <v>48</v>
      </c>
      <c r="E34" s="19" t="s">
        <v>303</v>
      </c>
      <c r="G34" s="18"/>
    </row>
    <row r="35" spans="1:8" x14ac:dyDescent="0.4">
      <c r="A35" s="18">
        <v>45724</v>
      </c>
      <c r="B35" s="18" t="s">
        <v>72</v>
      </c>
      <c r="C35" s="27">
        <v>1210</v>
      </c>
      <c r="D35" t="s">
        <v>114</v>
      </c>
      <c r="E35" s="19" t="s">
        <v>348</v>
      </c>
      <c r="G35" s="18"/>
    </row>
    <row r="36" spans="1:8" x14ac:dyDescent="0.4">
      <c r="A36" s="18">
        <v>45724</v>
      </c>
      <c r="B36" s="18" t="s">
        <v>72</v>
      </c>
      <c r="C36" s="27">
        <v>1750</v>
      </c>
      <c r="D36" t="s">
        <v>114</v>
      </c>
      <c r="E36" s="19" t="s">
        <v>340</v>
      </c>
      <c r="G36" s="18"/>
    </row>
    <row r="37" spans="1:8" x14ac:dyDescent="0.4">
      <c r="A37" s="18">
        <v>45724</v>
      </c>
      <c r="B37" s="18" t="s">
        <v>72</v>
      </c>
      <c r="C37" s="27">
        <v>1950</v>
      </c>
      <c r="D37" t="s">
        <v>114</v>
      </c>
      <c r="E37" s="19" t="s">
        <v>341</v>
      </c>
      <c r="G37" s="18"/>
    </row>
    <row r="38" spans="1:8" x14ac:dyDescent="0.4">
      <c r="A38" s="18">
        <v>45724</v>
      </c>
      <c r="B38" s="18" t="s">
        <v>72</v>
      </c>
      <c r="C38" s="27">
        <v>200</v>
      </c>
      <c r="D38" t="s">
        <v>48</v>
      </c>
      <c r="E38" s="19" t="s">
        <v>304</v>
      </c>
      <c r="G38" s="18"/>
    </row>
    <row r="39" spans="1:8" x14ac:dyDescent="0.4">
      <c r="A39" s="18">
        <v>45724</v>
      </c>
      <c r="B39" s="18" t="s">
        <v>72</v>
      </c>
      <c r="C39" s="27">
        <v>2750</v>
      </c>
      <c r="D39" t="s">
        <v>58</v>
      </c>
      <c r="E39" s="19" t="s">
        <v>312</v>
      </c>
      <c r="G39" s="18"/>
    </row>
    <row r="40" spans="1:8" x14ac:dyDescent="0.4">
      <c r="A40" s="18">
        <v>45725</v>
      </c>
      <c r="B40" s="18" t="s">
        <v>73</v>
      </c>
      <c r="C40" s="27">
        <v>1604</v>
      </c>
      <c r="D40" t="s">
        <v>114</v>
      </c>
      <c r="E40" s="19" t="s">
        <v>307</v>
      </c>
      <c r="G40" s="18"/>
    </row>
    <row r="41" spans="1:8" x14ac:dyDescent="0.4">
      <c r="A41" s="18">
        <v>45726</v>
      </c>
      <c r="B41" s="18" t="s">
        <v>56</v>
      </c>
      <c r="C41" s="27">
        <f>398+90+70</f>
        <v>558</v>
      </c>
      <c r="D41" t="s">
        <v>114</v>
      </c>
      <c r="E41" s="19" t="s">
        <v>309</v>
      </c>
      <c r="G41" s="18"/>
    </row>
    <row r="42" spans="1:8" x14ac:dyDescent="0.4">
      <c r="A42" s="18">
        <v>45726</v>
      </c>
      <c r="B42" s="18" t="s">
        <v>56</v>
      </c>
      <c r="C42" s="27">
        <v>890</v>
      </c>
      <c r="D42" t="s">
        <v>114</v>
      </c>
      <c r="E42" s="19" t="s">
        <v>320</v>
      </c>
      <c r="G42" s="18"/>
    </row>
    <row r="43" spans="1:8" x14ac:dyDescent="0.4">
      <c r="A43" s="18">
        <v>45726</v>
      </c>
      <c r="B43" s="18" t="s">
        <v>56</v>
      </c>
      <c r="C43" s="27">
        <v>10000</v>
      </c>
      <c r="D43" t="s">
        <v>20</v>
      </c>
      <c r="E43" s="19" t="s">
        <v>263</v>
      </c>
      <c r="G43" s="18"/>
    </row>
    <row r="44" spans="1:8" x14ac:dyDescent="0.4">
      <c r="A44" s="18">
        <v>66</v>
      </c>
      <c r="B44" s="18" t="s">
        <v>66</v>
      </c>
      <c r="C44" s="27">
        <v>669</v>
      </c>
      <c r="D44" t="s">
        <v>114</v>
      </c>
      <c r="E44" s="19" t="s">
        <v>309</v>
      </c>
      <c r="G44" s="18"/>
    </row>
    <row r="45" spans="1:8" x14ac:dyDescent="0.4">
      <c r="A45" s="18">
        <v>45728</v>
      </c>
      <c r="B45" s="18" t="s">
        <v>67</v>
      </c>
      <c r="C45" s="27">
        <v>110</v>
      </c>
      <c r="D45" t="s">
        <v>48</v>
      </c>
      <c r="E45" s="19" t="s">
        <v>185</v>
      </c>
      <c r="G45" s="18"/>
    </row>
    <row r="46" spans="1:8" x14ac:dyDescent="0.4">
      <c r="A46" s="18">
        <v>45728</v>
      </c>
      <c r="B46" s="18" t="s">
        <v>67</v>
      </c>
      <c r="C46" s="27">
        <v>420</v>
      </c>
      <c r="D46" t="s">
        <v>48</v>
      </c>
      <c r="E46" s="19" t="s">
        <v>306</v>
      </c>
      <c r="G46" s="18"/>
    </row>
    <row r="47" spans="1:8" x14ac:dyDescent="0.4">
      <c r="A47" s="18">
        <v>45729</v>
      </c>
      <c r="B47" s="18" t="s">
        <v>69</v>
      </c>
      <c r="C47" s="27">
        <f>4180-4180+500</f>
        <v>500</v>
      </c>
      <c r="D47" t="s">
        <v>58</v>
      </c>
      <c r="E47" s="19" t="s">
        <v>312</v>
      </c>
      <c r="G47" s="18"/>
    </row>
    <row r="48" spans="1:8" x14ac:dyDescent="0.4">
      <c r="A48" s="18">
        <v>45729</v>
      </c>
      <c r="B48" s="18" t="s">
        <v>69</v>
      </c>
      <c r="C48" s="27">
        <v>2200</v>
      </c>
      <c r="D48" t="s">
        <v>58</v>
      </c>
      <c r="E48" s="19" t="s">
        <v>312</v>
      </c>
      <c r="G48" s="18"/>
    </row>
    <row r="49" spans="1:7" x14ac:dyDescent="0.4">
      <c r="A49" s="18">
        <v>45729</v>
      </c>
      <c r="B49" s="18" t="s">
        <v>69</v>
      </c>
      <c r="C49" s="27">
        <v>669</v>
      </c>
      <c r="D49" t="s">
        <v>114</v>
      </c>
      <c r="E49" s="19" t="s">
        <v>309</v>
      </c>
      <c r="G49" s="18"/>
    </row>
    <row r="50" spans="1:7" x14ac:dyDescent="0.4">
      <c r="A50" s="18">
        <v>45729</v>
      </c>
      <c r="B50" s="18" t="s">
        <v>69</v>
      </c>
      <c r="C50" s="27">
        <v>3300</v>
      </c>
      <c r="D50" t="s">
        <v>58</v>
      </c>
      <c r="E50" s="19" t="s">
        <v>312</v>
      </c>
      <c r="G50" s="18"/>
    </row>
    <row r="51" spans="1:7" x14ac:dyDescent="0.4">
      <c r="A51" s="18">
        <v>45729</v>
      </c>
      <c r="B51" s="18" t="s">
        <v>69</v>
      </c>
      <c r="C51" s="27">
        <v>3281</v>
      </c>
      <c r="D51" t="s">
        <v>21</v>
      </c>
      <c r="E51" s="19" t="s">
        <v>349</v>
      </c>
      <c r="G51" s="18"/>
    </row>
    <row r="52" spans="1:7" x14ac:dyDescent="0.4">
      <c r="A52" s="18">
        <v>45730</v>
      </c>
      <c r="B52" s="18" t="s">
        <v>71</v>
      </c>
      <c r="C52" s="27">
        <v>110</v>
      </c>
      <c r="D52" t="s">
        <v>48</v>
      </c>
      <c r="E52" s="19" t="s">
        <v>185</v>
      </c>
      <c r="G52" s="18"/>
    </row>
    <row r="53" spans="1:7" x14ac:dyDescent="0.4">
      <c r="A53" s="18">
        <v>45731</v>
      </c>
      <c r="B53" s="18" t="s">
        <v>72</v>
      </c>
      <c r="C53" s="27">
        <f>140+110</f>
        <v>250</v>
      </c>
      <c r="D53" t="s">
        <v>114</v>
      </c>
      <c r="E53" s="19" t="s">
        <v>186</v>
      </c>
      <c r="G53" s="18"/>
    </row>
    <row r="54" spans="1:7" x14ac:dyDescent="0.4">
      <c r="A54" s="18">
        <v>45731</v>
      </c>
      <c r="B54" s="18" t="s">
        <v>72</v>
      </c>
      <c r="C54" s="27">
        <v>3000</v>
      </c>
      <c r="D54" t="s">
        <v>252</v>
      </c>
      <c r="E54" s="19" t="s">
        <v>351</v>
      </c>
      <c r="G54" s="18"/>
    </row>
    <row r="55" spans="1:7" x14ac:dyDescent="0.4">
      <c r="A55" s="18">
        <v>45731</v>
      </c>
      <c r="B55" s="18" t="s">
        <v>72</v>
      </c>
      <c r="C55" s="27">
        <v>2178</v>
      </c>
      <c r="D55" t="s">
        <v>252</v>
      </c>
      <c r="E55" s="19" t="s">
        <v>352</v>
      </c>
      <c r="G55" s="18"/>
    </row>
    <row r="56" spans="1:7" x14ac:dyDescent="0.4">
      <c r="A56" s="18">
        <v>45731</v>
      </c>
      <c r="B56" s="18" t="s">
        <v>72</v>
      </c>
      <c r="C56" s="27">
        <v>1000</v>
      </c>
      <c r="D56" t="s">
        <v>252</v>
      </c>
      <c r="E56" s="19" t="s">
        <v>353</v>
      </c>
      <c r="G56" s="18"/>
    </row>
    <row r="57" spans="1:7" x14ac:dyDescent="0.4">
      <c r="A57" s="18">
        <v>45731</v>
      </c>
      <c r="B57" s="18" t="s">
        <v>72</v>
      </c>
      <c r="C57" s="27">
        <v>1740</v>
      </c>
      <c r="D57" t="s">
        <v>114</v>
      </c>
      <c r="E57" s="19" t="s">
        <v>322</v>
      </c>
      <c r="G57" s="18"/>
    </row>
    <row r="58" spans="1:7" x14ac:dyDescent="0.4">
      <c r="A58" s="18">
        <v>45732</v>
      </c>
      <c r="B58" s="18" t="s">
        <v>73</v>
      </c>
      <c r="C58" s="27">
        <v>2206</v>
      </c>
      <c r="D58" t="s">
        <v>114</v>
      </c>
      <c r="E58" s="19" t="s">
        <v>307</v>
      </c>
      <c r="G58" s="18"/>
    </row>
    <row r="59" spans="1:7" x14ac:dyDescent="0.4">
      <c r="A59" s="18">
        <v>45733</v>
      </c>
      <c r="B59" s="18" t="s">
        <v>56</v>
      </c>
      <c r="C59" s="27">
        <f>110+70</f>
        <v>180</v>
      </c>
      <c r="D59" t="s">
        <v>114</v>
      </c>
      <c r="E59" s="19" t="s">
        <v>186</v>
      </c>
      <c r="G59" s="18"/>
    </row>
    <row r="60" spans="1:7" x14ac:dyDescent="0.4">
      <c r="A60" s="18">
        <v>45733</v>
      </c>
      <c r="B60" s="18" t="s">
        <v>56</v>
      </c>
      <c r="C60" s="27">
        <v>530</v>
      </c>
      <c r="D60" t="s">
        <v>114</v>
      </c>
      <c r="E60" s="19" t="s">
        <v>340</v>
      </c>
      <c r="G60" s="18"/>
    </row>
    <row r="61" spans="1:7" x14ac:dyDescent="0.4">
      <c r="A61" s="18">
        <v>45733</v>
      </c>
      <c r="B61" s="18" t="s">
        <v>56</v>
      </c>
      <c r="C61" s="27">
        <v>2590</v>
      </c>
      <c r="D61" t="s">
        <v>20</v>
      </c>
      <c r="E61" s="19" t="s">
        <v>112</v>
      </c>
      <c r="G61" s="18"/>
    </row>
    <row r="62" spans="1:7" x14ac:dyDescent="0.4">
      <c r="A62" s="18">
        <v>45734</v>
      </c>
      <c r="B62" s="18" t="s">
        <v>66</v>
      </c>
      <c r="C62" s="27">
        <v>669</v>
      </c>
      <c r="D62" t="s">
        <v>114</v>
      </c>
      <c r="E62" s="19" t="s">
        <v>309</v>
      </c>
      <c r="G62" s="18"/>
    </row>
    <row r="63" spans="1:7" x14ac:dyDescent="0.4">
      <c r="A63" s="18">
        <v>45735</v>
      </c>
      <c r="B63" s="18" t="s">
        <v>67</v>
      </c>
      <c r="C63" s="27">
        <v>220</v>
      </c>
      <c r="D63" t="s">
        <v>48</v>
      </c>
      <c r="E63" s="19" t="s">
        <v>185</v>
      </c>
      <c r="G63" s="18"/>
    </row>
    <row r="64" spans="1:7" x14ac:dyDescent="0.4">
      <c r="A64" s="18">
        <v>45735</v>
      </c>
      <c r="B64" s="18" t="s">
        <v>67</v>
      </c>
      <c r="C64" s="27">
        <v>290</v>
      </c>
      <c r="D64" t="s">
        <v>114</v>
      </c>
      <c r="E64" s="19" t="s">
        <v>186</v>
      </c>
      <c r="G64" s="18"/>
    </row>
    <row r="65" spans="1:7" x14ac:dyDescent="0.4">
      <c r="A65" s="18">
        <v>45735</v>
      </c>
      <c r="B65" s="18" t="s">
        <v>67</v>
      </c>
      <c r="C65" s="27">
        <f>995*2</f>
        <v>1990</v>
      </c>
      <c r="D65" t="s">
        <v>48</v>
      </c>
      <c r="E65" s="19" t="s">
        <v>305</v>
      </c>
      <c r="G65" s="18"/>
    </row>
    <row r="66" spans="1:7" x14ac:dyDescent="0.4">
      <c r="A66" s="18">
        <v>45735</v>
      </c>
      <c r="B66" s="18" t="s">
        <v>67</v>
      </c>
      <c r="C66" s="27">
        <v>400</v>
      </c>
      <c r="D66" t="s">
        <v>48</v>
      </c>
      <c r="E66" s="19" t="s">
        <v>306</v>
      </c>
      <c r="G66" s="18"/>
    </row>
    <row r="67" spans="1:7" x14ac:dyDescent="0.4">
      <c r="A67" s="18">
        <v>45735</v>
      </c>
      <c r="B67" s="18" t="s">
        <v>67</v>
      </c>
      <c r="C67" s="27">
        <v>900</v>
      </c>
      <c r="D67" t="s">
        <v>252</v>
      </c>
      <c r="E67" s="19" t="s">
        <v>354</v>
      </c>
      <c r="G67" s="18"/>
    </row>
    <row r="68" spans="1:7" x14ac:dyDescent="0.4">
      <c r="A68" s="18">
        <v>45735</v>
      </c>
      <c r="B68" s="18" t="s">
        <v>67</v>
      </c>
      <c r="C68" s="27">
        <f>2310+110+700</f>
        <v>3120</v>
      </c>
      <c r="D68" t="s">
        <v>114</v>
      </c>
      <c r="E68" s="19" t="s">
        <v>322</v>
      </c>
      <c r="G68" s="18"/>
    </row>
    <row r="69" spans="1:7" x14ac:dyDescent="0.4">
      <c r="A69" s="18">
        <v>45735</v>
      </c>
      <c r="B69" s="18" t="s">
        <v>67</v>
      </c>
      <c r="C69" s="27">
        <v>648</v>
      </c>
      <c r="D69" t="s">
        <v>252</v>
      </c>
      <c r="E69" s="19" t="s">
        <v>236</v>
      </c>
      <c r="G69" s="18"/>
    </row>
    <row r="70" spans="1:7" x14ac:dyDescent="0.4">
      <c r="A70" s="18">
        <v>45736</v>
      </c>
      <c r="B70" s="18" t="s">
        <v>69</v>
      </c>
      <c r="C70" s="27">
        <v>110</v>
      </c>
      <c r="D70" t="s">
        <v>48</v>
      </c>
      <c r="E70" s="19" t="s">
        <v>185</v>
      </c>
      <c r="G70" s="18"/>
    </row>
    <row r="71" spans="1:7" x14ac:dyDescent="0.4">
      <c r="A71" s="18">
        <v>45736</v>
      </c>
      <c r="B71" s="18" t="s">
        <v>69</v>
      </c>
      <c r="C71" s="27">
        <v>120</v>
      </c>
      <c r="D71" t="s">
        <v>114</v>
      </c>
      <c r="E71" s="19" t="s">
        <v>186</v>
      </c>
      <c r="G71" s="18"/>
    </row>
    <row r="72" spans="1:7" x14ac:dyDescent="0.4">
      <c r="A72" s="18">
        <v>45736</v>
      </c>
      <c r="B72" s="18" t="s">
        <v>69</v>
      </c>
      <c r="C72" s="27">
        <v>680</v>
      </c>
      <c r="D72" t="s">
        <v>114</v>
      </c>
      <c r="E72" s="19" t="s">
        <v>315</v>
      </c>
      <c r="G72" s="18"/>
    </row>
    <row r="73" spans="1:7" x14ac:dyDescent="0.4">
      <c r="A73" s="18">
        <v>45736</v>
      </c>
      <c r="B73" s="18" t="s">
        <v>69</v>
      </c>
      <c r="C73" s="27">
        <v>1210</v>
      </c>
      <c r="D73" t="s">
        <v>57</v>
      </c>
      <c r="E73" s="19" t="s">
        <v>344</v>
      </c>
      <c r="G73" s="18"/>
    </row>
    <row r="74" spans="1:7" x14ac:dyDescent="0.4">
      <c r="A74" s="18">
        <v>45736</v>
      </c>
      <c r="B74" s="18" t="s">
        <v>69</v>
      </c>
      <c r="C74" s="27">
        <v>216</v>
      </c>
      <c r="D74" t="s">
        <v>114</v>
      </c>
      <c r="E74" s="19" t="s">
        <v>344</v>
      </c>
      <c r="G74" s="18"/>
    </row>
    <row r="75" spans="1:7" x14ac:dyDescent="0.4">
      <c r="A75" s="18">
        <v>45736</v>
      </c>
      <c r="B75" s="18" t="s">
        <v>69</v>
      </c>
      <c r="C75" s="27">
        <v>1650</v>
      </c>
      <c r="D75" t="s">
        <v>114</v>
      </c>
      <c r="E75" s="19" t="s">
        <v>340</v>
      </c>
      <c r="G75" s="18"/>
    </row>
    <row r="76" spans="1:7" x14ac:dyDescent="0.4">
      <c r="A76" s="18">
        <v>45738</v>
      </c>
      <c r="B76" s="18" t="s">
        <v>72</v>
      </c>
      <c r="C76" s="27">
        <v>2811</v>
      </c>
      <c r="D76" t="s">
        <v>114</v>
      </c>
      <c r="E76" s="19" t="s">
        <v>355</v>
      </c>
      <c r="G76" s="18"/>
    </row>
    <row r="77" spans="1:7" x14ac:dyDescent="0.4">
      <c r="A77" s="18">
        <v>45739</v>
      </c>
      <c r="B77" s="18" t="s">
        <v>73</v>
      </c>
      <c r="C77" s="27">
        <v>1732</v>
      </c>
      <c r="D77" t="s">
        <v>114</v>
      </c>
      <c r="E77" s="19" t="s">
        <v>307</v>
      </c>
      <c r="G77" s="18"/>
    </row>
    <row r="78" spans="1:7" x14ac:dyDescent="0.4">
      <c r="A78" s="18">
        <v>45739</v>
      </c>
      <c r="B78" s="18" t="s">
        <v>73</v>
      </c>
      <c r="C78" s="27">
        <v>3520</v>
      </c>
      <c r="D78" t="s">
        <v>58</v>
      </c>
      <c r="E78" s="19" t="s">
        <v>312</v>
      </c>
      <c r="G78" s="18"/>
    </row>
    <row r="79" spans="1:7" x14ac:dyDescent="0.4">
      <c r="A79" s="18">
        <v>45739</v>
      </c>
      <c r="B79" s="18" t="s">
        <v>73</v>
      </c>
      <c r="C79" s="27">
        <v>1650</v>
      </c>
      <c r="D79" t="s">
        <v>58</v>
      </c>
      <c r="E79" s="19" t="s">
        <v>312</v>
      </c>
      <c r="G79" s="18"/>
    </row>
    <row r="80" spans="1:7" x14ac:dyDescent="0.4">
      <c r="A80" s="18">
        <v>45739</v>
      </c>
      <c r="B80" s="18" t="s">
        <v>73</v>
      </c>
      <c r="C80" s="27">
        <v>2010</v>
      </c>
      <c r="D80" t="s">
        <v>114</v>
      </c>
      <c r="E80" s="19" t="s">
        <v>320</v>
      </c>
      <c r="G80" s="18"/>
    </row>
    <row r="81" spans="1:7" x14ac:dyDescent="0.4">
      <c r="A81" s="18">
        <v>45741</v>
      </c>
      <c r="B81" s="18" t="s">
        <v>66</v>
      </c>
      <c r="C81" s="27">
        <v>1650</v>
      </c>
      <c r="D81" t="s">
        <v>58</v>
      </c>
      <c r="E81" s="19" t="s">
        <v>312</v>
      </c>
      <c r="G81" s="18"/>
    </row>
    <row r="82" spans="1:7" x14ac:dyDescent="0.4">
      <c r="A82" s="18">
        <v>45741</v>
      </c>
      <c r="B82" s="18" t="s">
        <v>66</v>
      </c>
      <c r="C82" s="27">
        <v>2420</v>
      </c>
      <c r="D82" t="s">
        <v>58</v>
      </c>
      <c r="E82" s="19" t="s">
        <v>312</v>
      </c>
      <c r="G82" s="18"/>
    </row>
    <row r="83" spans="1:7" x14ac:dyDescent="0.4">
      <c r="A83" s="18">
        <v>45743</v>
      </c>
      <c r="B83" s="18" t="s">
        <v>69</v>
      </c>
      <c r="C83" s="27">
        <f>1403+100</f>
        <v>1503</v>
      </c>
      <c r="D83" t="s">
        <v>114</v>
      </c>
      <c r="E83" s="19" t="s">
        <v>309</v>
      </c>
      <c r="G83" s="18"/>
    </row>
    <row r="84" spans="1:7" x14ac:dyDescent="0.4">
      <c r="A84" s="18">
        <v>45743</v>
      </c>
      <c r="B84" s="18" t="s">
        <v>69</v>
      </c>
      <c r="C84" s="27">
        <v>590</v>
      </c>
      <c r="D84" t="s">
        <v>114</v>
      </c>
      <c r="E84" s="19" t="s">
        <v>315</v>
      </c>
      <c r="G84" s="18"/>
    </row>
    <row r="85" spans="1:7" x14ac:dyDescent="0.4">
      <c r="A85" s="18">
        <v>45744</v>
      </c>
      <c r="B85" s="18" t="s">
        <v>71</v>
      </c>
      <c r="C85" s="27">
        <v>3550</v>
      </c>
      <c r="D85" t="s">
        <v>252</v>
      </c>
      <c r="E85" s="19" t="s">
        <v>326</v>
      </c>
      <c r="G85" s="18"/>
    </row>
    <row r="86" spans="1:7" x14ac:dyDescent="0.4">
      <c r="A86" s="18">
        <v>45744</v>
      </c>
      <c r="B86" s="18" t="s">
        <v>71</v>
      </c>
      <c r="C86" s="27">
        <v>669</v>
      </c>
      <c r="D86" t="s">
        <v>114</v>
      </c>
      <c r="E86" s="19" t="s">
        <v>309</v>
      </c>
      <c r="G86" s="18"/>
    </row>
    <row r="87" spans="1:7" x14ac:dyDescent="0.4">
      <c r="A87" s="18">
        <v>45744</v>
      </c>
      <c r="B87" s="18" t="s">
        <v>71</v>
      </c>
      <c r="C87" s="27">
        <v>6000</v>
      </c>
      <c r="D87" t="s">
        <v>95</v>
      </c>
      <c r="E87" s="19" t="s">
        <v>342</v>
      </c>
    </row>
    <row r="88" spans="1:7" x14ac:dyDescent="0.4">
      <c r="A88" s="18">
        <v>45745</v>
      </c>
      <c r="B88" s="18" t="s">
        <v>72</v>
      </c>
      <c r="C88" s="27">
        <f>1441*2</f>
        <v>2882</v>
      </c>
      <c r="D88" t="s">
        <v>114</v>
      </c>
      <c r="E88" s="19" t="s">
        <v>356</v>
      </c>
    </row>
    <row r="89" spans="1:7" x14ac:dyDescent="0.4">
      <c r="A89" s="18">
        <v>45745</v>
      </c>
      <c r="B89" s="18" t="s">
        <v>72</v>
      </c>
      <c r="C89" s="27">
        <v>5230</v>
      </c>
      <c r="D89" t="s">
        <v>114</v>
      </c>
      <c r="E89" s="19" t="s">
        <v>330</v>
      </c>
    </row>
    <row r="90" spans="1:7" x14ac:dyDescent="0.4">
      <c r="A90" s="18">
        <v>45746</v>
      </c>
      <c r="B90" s="18" t="s">
        <v>73</v>
      </c>
      <c r="C90" s="27">
        <v>1734</v>
      </c>
      <c r="D90" t="s">
        <v>114</v>
      </c>
      <c r="E90" s="19" t="s">
        <v>307</v>
      </c>
    </row>
    <row r="91" spans="1:7" x14ac:dyDescent="0.4">
      <c r="A91" s="18">
        <v>45747</v>
      </c>
      <c r="B91" s="18" t="s">
        <v>56</v>
      </c>
      <c r="C91" s="27">
        <v>685</v>
      </c>
      <c r="D91" t="s">
        <v>114</v>
      </c>
      <c r="E91" s="19" t="s">
        <v>309</v>
      </c>
    </row>
    <row r="92" spans="1:7" x14ac:dyDescent="0.4">
      <c r="A92" s="18">
        <v>45747</v>
      </c>
      <c r="B92" s="18" t="s">
        <v>56</v>
      </c>
      <c r="C92" s="27">
        <v>890</v>
      </c>
      <c r="D92" t="s">
        <v>114</v>
      </c>
      <c r="E92" s="19" t="s">
        <v>320</v>
      </c>
    </row>
  </sheetData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D4461-6B9F-4228-A67C-43B7881EA4B2}">
  <sheetPr codeName="Sheet23"/>
  <dimension ref="A1:H95"/>
  <sheetViews>
    <sheetView workbookViewId="0">
      <pane ySplit="2" topLeftCell="A3" activePane="bottomLeft" state="frozen"/>
      <selection activeCell="E30" sqref="E30"/>
      <selection pane="bottomLeft" activeCell="E81" sqref="E81"/>
    </sheetView>
  </sheetViews>
  <sheetFormatPr defaultRowHeight="18.75" x14ac:dyDescent="0.4"/>
  <cols>
    <col min="2" max="2" width="4.875" bestFit="1" customWidth="1"/>
    <col min="3" max="3" width="9" style="27"/>
    <col min="4" max="4" width="18.25" bestFit="1" customWidth="1"/>
    <col min="5" max="5" width="35.875" style="19" bestFit="1" customWidth="1"/>
    <col min="8" max="8" width="9" style="27"/>
  </cols>
  <sheetData>
    <row r="1" spans="1:8" x14ac:dyDescent="0.4">
      <c r="C1" s="27">
        <f>SUM(C3:C191)</f>
        <v>407795</v>
      </c>
      <c r="H1" s="27">
        <f>SUM(H3:H191)</f>
        <v>407795</v>
      </c>
    </row>
    <row r="2" spans="1:8" x14ac:dyDescent="0.4">
      <c r="A2" s="20" t="s">
        <v>50</v>
      </c>
      <c r="B2" s="20" t="s">
        <v>55</v>
      </c>
      <c r="C2" s="28" t="s">
        <v>52</v>
      </c>
      <c r="D2" s="20" t="s">
        <v>51</v>
      </c>
      <c r="E2" s="21" t="s">
        <v>53</v>
      </c>
      <c r="G2" s="20" t="s">
        <v>50</v>
      </c>
      <c r="H2" s="28" t="s">
        <v>52</v>
      </c>
    </row>
    <row r="3" spans="1:8" x14ac:dyDescent="0.4">
      <c r="A3" s="18">
        <v>45748</v>
      </c>
      <c r="B3" s="18" t="s">
        <v>66</v>
      </c>
      <c r="C3" s="27">
        <v>100000</v>
      </c>
      <c r="D3" t="s">
        <v>97</v>
      </c>
      <c r="E3" s="19" t="s">
        <v>90</v>
      </c>
      <c r="G3" s="18">
        <v>45748</v>
      </c>
      <c r="H3" s="27">
        <f t="shared" ref="H3:H32" si="0">SUMIF($A$3:$A$239,$G3,$C$3:$C$239)</f>
        <v>271336</v>
      </c>
    </row>
    <row r="4" spans="1:8" x14ac:dyDescent="0.4">
      <c r="A4" s="18">
        <v>45748</v>
      </c>
      <c r="B4" s="18" t="s">
        <v>66</v>
      </c>
      <c r="C4" s="27">
        <v>150000</v>
      </c>
      <c r="D4" t="s">
        <v>42</v>
      </c>
      <c r="E4" t="s">
        <v>42</v>
      </c>
      <c r="G4" s="18">
        <v>45749</v>
      </c>
      <c r="H4" s="27">
        <f t="shared" si="0"/>
        <v>0</v>
      </c>
    </row>
    <row r="5" spans="1:8" x14ac:dyDescent="0.4">
      <c r="A5" s="18">
        <v>45748</v>
      </c>
      <c r="B5" s="18" t="s">
        <v>66</v>
      </c>
      <c r="C5" s="27">
        <f>4277</f>
        <v>4277</v>
      </c>
      <c r="D5" t="s">
        <v>58</v>
      </c>
      <c r="E5" s="19" t="s">
        <v>299</v>
      </c>
      <c r="G5" s="18">
        <v>45750</v>
      </c>
      <c r="H5" s="27">
        <f t="shared" si="0"/>
        <v>1993</v>
      </c>
    </row>
    <row r="6" spans="1:8" x14ac:dyDescent="0.4">
      <c r="A6" s="18">
        <v>45748</v>
      </c>
      <c r="B6" s="18" t="s">
        <v>66</v>
      </c>
      <c r="C6" s="27">
        <v>3110</v>
      </c>
      <c r="D6" t="s">
        <v>25</v>
      </c>
      <c r="E6" s="19" t="s">
        <v>302</v>
      </c>
      <c r="G6" s="18">
        <v>45751</v>
      </c>
      <c r="H6" s="27">
        <f t="shared" si="0"/>
        <v>0</v>
      </c>
    </row>
    <row r="7" spans="1:8" x14ac:dyDescent="0.4">
      <c r="A7" s="18">
        <v>45748</v>
      </c>
      <c r="B7" s="18" t="s">
        <v>66</v>
      </c>
      <c r="C7" s="27">
        <v>3610</v>
      </c>
      <c r="D7" t="s">
        <v>25</v>
      </c>
      <c r="E7" s="19" t="s">
        <v>297</v>
      </c>
      <c r="G7" s="18">
        <v>45752</v>
      </c>
      <c r="H7" s="27">
        <f t="shared" si="0"/>
        <v>9196</v>
      </c>
    </row>
    <row r="8" spans="1:8" x14ac:dyDescent="0.4">
      <c r="A8" s="18">
        <v>45748</v>
      </c>
      <c r="B8" s="18" t="s">
        <v>66</v>
      </c>
      <c r="C8" s="27">
        <v>360</v>
      </c>
      <c r="D8" t="s">
        <v>25</v>
      </c>
      <c r="E8" s="19" t="s">
        <v>298</v>
      </c>
      <c r="G8" s="18">
        <v>45753</v>
      </c>
      <c r="H8" s="27">
        <f t="shared" si="0"/>
        <v>1620</v>
      </c>
    </row>
    <row r="9" spans="1:8" x14ac:dyDescent="0.4">
      <c r="A9" s="18">
        <v>45748</v>
      </c>
      <c r="B9" s="18" t="s">
        <v>66</v>
      </c>
      <c r="C9" s="27">
        <f>1800+3470</f>
        <v>5270</v>
      </c>
      <c r="D9" t="s">
        <v>25</v>
      </c>
      <c r="E9" s="19" t="s">
        <v>301</v>
      </c>
      <c r="G9" s="18">
        <v>45754</v>
      </c>
      <c r="H9" s="27">
        <f t="shared" si="0"/>
        <v>2805</v>
      </c>
    </row>
    <row r="10" spans="1:8" x14ac:dyDescent="0.4">
      <c r="A10" s="18">
        <v>45748</v>
      </c>
      <c r="B10" s="18" t="s">
        <v>66</v>
      </c>
      <c r="C10" s="27">
        <v>4040</v>
      </c>
      <c r="D10" t="s">
        <v>252</v>
      </c>
      <c r="E10" s="19" t="s">
        <v>357</v>
      </c>
      <c r="G10" s="18">
        <v>45755</v>
      </c>
      <c r="H10" s="27">
        <f t="shared" si="0"/>
        <v>0</v>
      </c>
    </row>
    <row r="11" spans="1:8" x14ac:dyDescent="0.4">
      <c r="A11" s="18">
        <v>45748</v>
      </c>
      <c r="B11" s="18" t="s">
        <v>66</v>
      </c>
      <c r="C11" s="27">
        <v>669</v>
      </c>
      <c r="D11" t="s">
        <v>238</v>
      </c>
      <c r="E11" s="19" t="s">
        <v>309</v>
      </c>
      <c r="G11" s="18">
        <v>45756</v>
      </c>
      <c r="H11" s="27">
        <f t="shared" si="0"/>
        <v>7153</v>
      </c>
    </row>
    <row r="12" spans="1:8" x14ac:dyDescent="0.4">
      <c r="A12" s="18">
        <v>45750</v>
      </c>
      <c r="B12" s="18" t="s">
        <v>69</v>
      </c>
      <c r="C12" s="27">
        <v>1403</v>
      </c>
      <c r="D12" t="s">
        <v>114</v>
      </c>
      <c r="E12" s="19" t="s">
        <v>309</v>
      </c>
      <c r="G12" s="18">
        <v>45757</v>
      </c>
      <c r="H12" s="27">
        <f t="shared" si="0"/>
        <v>9390</v>
      </c>
    </row>
    <row r="13" spans="1:8" x14ac:dyDescent="0.4">
      <c r="A13" s="18">
        <v>45750</v>
      </c>
      <c r="B13" s="18" t="s">
        <v>69</v>
      </c>
      <c r="C13" s="27">
        <v>590</v>
      </c>
      <c r="D13" t="s">
        <v>114</v>
      </c>
      <c r="E13" s="19" t="s">
        <v>315</v>
      </c>
      <c r="G13" s="18">
        <v>45758</v>
      </c>
      <c r="H13" s="27">
        <f t="shared" si="0"/>
        <v>669</v>
      </c>
    </row>
    <row r="14" spans="1:8" x14ac:dyDescent="0.4">
      <c r="A14" s="18">
        <v>45752</v>
      </c>
      <c r="B14" s="18" t="s">
        <v>72</v>
      </c>
      <c r="C14" s="27">
        <v>980</v>
      </c>
      <c r="D14" t="s">
        <v>58</v>
      </c>
      <c r="E14" s="19" t="s">
        <v>143</v>
      </c>
      <c r="G14" s="18">
        <v>45759</v>
      </c>
      <c r="H14" s="27">
        <f t="shared" si="0"/>
        <v>5507</v>
      </c>
    </row>
    <row r="15" spans="1:8" x14ac:dyDescent="0.4">
      <c r="A15" s="18">
        <v>45752</v>
      </c>
      <c r="B15" s="18" t="s">
        <v>72</v>
      </c>
      <c r="C15" s="27">
        <v>110</v>
      </c>
      <c r="D15" t="s">
        <v>239</v>
      </c>
      <c r="E15" s="19" t="s">
        <v>240</v>
      </c>
      <c r="G15" s="18">
        <v>45760</v>
      </c>
      <c r="H15" s="27">
        <f t="shared" si="0"/>
        <v>4931</v>
      </c>
    </row>
    <row r="16" spans="1:8" x14ac:dyDescent="0.4">
      <c r="A16" s="18">
        <v>45752</v>
      </c>
      <c r="B16" s="18" t="s">
        <v>72</v>
      </c>
      <c r="C16" s="27">
        <v>178</v>
      </c>
      <c r="D16" t="s">
        <v>239</v>
      </c>
      <c r="E16" s="19" t="s">
        <v>303</v>
      </c>
      <c r="G16" s="18">
        <v>45761</v>
      </c>
      <c r="H16" s="27">
        <f t="shared" si="0"/>
        <v>3512</v>
      </c>
    </row>
    <row r="17" spans="1:8" x14ac:dyDescent="0.4">
      <c r="A17" s="18">
        <v>45752</v>
      </c>
      <c r="B17" s="18" t="s">
        <v>72</v>
      </c>
      <c r="C17" s="27">
        <v>6200</v>
      </c>
      <c r="D17" t="s">
        <v>114</v>
      </c>
      <c r="E17" s="19" t="s">
        <v>322</v>
      </c>
      <c r="G17" s="18">
        <v>45762</v>
      </c>
      <c r="H17" s="27">
        <f t="shared" si="0"/>
        <v>0</v>
      </c>
    </row>
    <row r="18" spans="1:8" x14ac:dyDescent="0.4">
      <c r="A18" s="18">
        <v>45752</v>
      </c>
      <c r="B18" s="18" t="s">
        <v>72</v>
      </c>
      <c r="C18" s="27">
        <v>995</v>
      </c>
      <c r="D18" t="s">
        <v>252</v>
      </c>
      <c r="E18" s="19" t="s">
        <v>327</v>
      </c>
      <c r="G18" s="18">
        <v>45763</v>
      </c>
      <c r="H18" s="27">
        <f t="shared" si="0"/>
        <v>0</v>
      </c>
    </row>
    <row r="19" spans="1:8" x14ac:dyDescent="0.4">
      <c r="A19" s="18">
        <v>45752</v>
      </c>
      <c r="B19" s="18" t="s">
        <v>72</v>
      </c>
      <c r="C19" s="27">
        <v>555</v>
      </c>
      <c r="D19" t="s">
        <v>114</v>
      </c>
      <c r="E19" s="19" t="s">
        <v>358</v>
      </c>
      <c r="G19" s="18">
        <v>45764</v>
      </c>
      <c r="H19" s="27">
        <f t="shared" si="0"/>
        <v>5447</v>
      </c>
    </row>
    <row r="20" spans="1:8" x14ac:dyDescent="0.4">
      <c r="A20" s="18">
        <v>45752</v>
      </c>
      <c r="B20" s="18" t="s">
        <v>72</v>
      </c>
      <c r="C20" s="27">
        <v>178</v>
      </c>
      <c r="D20" t="s">
        <v>239</v>
      </c>
      <c r="E20" s="19" t="s">
        <v>304</v>
      </c>
      <c r="G20" s="18">
        <v>45765</v>
      </c>
      <c r="H20" s="27">
        <f t="shared" si="0"/>
        <v>588</v>
      </c>
    </row>
    <row r="21" spans="1:8" x14ac:dyDescent="0.4">
      <c r="A21" s="18">
        <v>45753</v>
      </c>
      <c r="B21" s="18" t="s">
        <v>73</v>
      </c>
      <c r="C21" s="27">
        <v>1620</v>
      </c>
      <c r="D21" t="s">
        <v>114</v>
      </c>
      <c r="E21" s="19" t="s">
        <v>307</v>
      </c>
      <c r="G21" s="18">
        <v>45766</v>
      </c>
      <c r="H21" s="27">
        <f t="shared" si="0"/>
        <v>3869</v>
      </c>
    </row>
    <row r="22" spans="1:8" x14ac:dyDescent="0.4">
      <c r="A22" s="18">
        <v>45754</v>
      </c>
      <c r="B22" s="18" t="s">
        <v>56</v>
      </c>
      <c r="C22" s="27">
        <v>220</v>
      </c>
      <c r="D22" t="s">
        <v>48</v>
      </c>
      <c r="E22" s="19" t="s">
        <v>185</v>
      </c>
      <c r="G22" s="18">
        <v>45767</v>
      </c>
      <c r="H22" s="27">
        <f t="shared" si="0"/>
        <v>11467</v>
      </c>
    </row>
    <row r="23" spans="1:8" x14ac:dyDescent="0.4">
      <c r="A23" s="18">
        <v>45754</v>
      </c>
      <c r="B23" s="18" t="s">
        <v>56</v>
      </c>
      <c r="C23" s="27">
        <f>345*2</f>
        <v>690</v>
      </c>
      <c r="D23" t="s">
        <v>48</v>
      </c>
      <c r="E23" s="19" t="s">
        <v>306</v>
      </c>
      <c r="G23" s="18">
        <v>45768</v>
      </c>
      <c r="H23" s="27">
        <f t="shared" si="0"/>
        <v>4214</v>
      </c>
    </row>
    <row r="24" spans="1:8" x14ac:dyDescent="0.4">
      <c r="A24" s="18">
        <v>45754</v>
      </c>
      <c r="B24" s="18" t="s">
        <v>56</v>
      </c>
      <c r="C24" s="27">
        <v>595</v>
      </c>
      <c r="D24" t="s">
        <v>114</v>
      </c>
      <c r="E24" s="19" t="s">
        <v>341</v>
      </c>
      <c r="G24" s="18">
        <v>45769</v>
      </c>
      <c r="H24" s="27">
        <f t="shared" si="0"/>
        <v>0</v>
      </c>
    </row>
    <row r="25" spans="1:8" x14ac:dyDescent="0.4">
      <c r="A25" s="18">
        <v>45754</v>
      </c>
      <c r="B25" s="18" t="s">
        <v>56</v>
      </c>
      <c r="C25" s="27">
        <v>1300</v>
      </c>
      <c r="D25" t="s">
        <v>241</v>
      </c>
      <c r="E25" s="19" t="s">
        <v>359</v>
      </c>
      <c r="G25" s="18">
        <v>45770</v>
      </c>
      <c r="H25" s="27">
        <f t="shared" si="0"/>
        <v>1993</v>
      </c>
    </row>
    <row r="26" spans="1:8" x14ac:dyDescent="0.4">
      <c r="A26" s="18">
        <v>45756</v>
      </c>
      <c r="B26" s="18" t="s">
        <v>67</v>
      </c>
      <c r="C26" s="27">
        <v>5100</v>
      </c>
      <c r="D26" t="s">
        <v>114</v>
      </c>
      <c r="E26" s="19" t="s">
        <v>360</v>
      </c>
      <c r="G26" s="18">
        <v>45771</v>
      </c>
      <c r="H26" s="27">
        <f t="shared" si="0"/>
        <v>2270</v>
      </c>
    </row>
    <row r="27" spans="1:8" x14ac:dyDescent="0.4">
      <c r="A27" s="18">
        <v>45756</v>
      </c>
      <c r="B27" s="18" t="s">
        <v>67</v>
      </c>
      <c r="C27" s="27">
        <v>1403</v>
      </c>
      <c r="D27" t="s">
        <v>114</v>
      </c>
      <c r="E27" s="19" t="s">
        <v>309</v>
      </c>
      <c r="G27" s="18">
        <v>45772</v>
      </c>
      <c r="H27" s="27">
        <f t="shared" si="0"/>
        <v>9525</v>
      </c>
    </row>
    <row r="28" spans="1:8" x14ac:dyDescent="0.4">
      <c r="A28" s="18">
        <v>45756</v>
      </c>
      <c r="B28" s="18" t="s">
        <v>67</v>
      </c>
      <c r="C28" s="27">
        <v>650</v>
      </c>
      <c r="D28" t="s">
        <v>114</v>
      </c>
      <c r="E28" s="19" t="s">
        <v>340</v>
      </c>
      <c r="G28" s="18">
        <v>45773</v>
      </c>
      <c r="H28" s="27">
        <f t="shared" si="0"/>
        <v>1900</v>
      </c>
    </row>
    <row r="29" spans="1:8" x14ac:dyDescent="0.4">
      <c r="A29" s="18">
        <v>45757</v>
      </c>
      <c r="B29" s="18" t="s">
        <v>69</v>
      </c>
      <c r="C29" s="27">
        <v>669</v>
      </c>
      <c r="D29" t="s">
        <v>114</v>
      </c>
      <c r="E29" s="19" t="s">
        <v>309</v>
      </c>
      <c r="G29" s="18">
        <v>45774</v>
      </c>
      <c r="H29" s="27">
        <f t="shared" si="0"/>
        <v>15420</v>
      </c>
    </row>
    <row r="30" spans="1:8" x14ac:dyDescent="0.4">
      <c r="A30" s="18">
        <v>45757</v>
      </c>
      <c r="B30" s="18" t="s">
        <v>69</v>
      </c>
      <c r="C30" s="27">
        <v>590</v>
      </c>
      <c r="D30" t="s">
        <v>114</v>
      </c>
      <c r="E30" s="19" t="s">
        <v>315</v>
      </c>
      <c r="G30" s="18">
        <v>45775</v>
      </c>
      <c r="H30" s="27">
        <f t="shared" si="0"/>
        <v>6750</v>
      </c>
    </row>
    <row r="31" spans="1:8" x14ac:dyDescent="0.4">
      <c r="A31" s="18">
        <v>45757</v>
      </c>
      <c r="B31" s="18" t="s">
        <v>69</v>
      </c>
      <c r="C31" s="27">
        <v>8131</v>
      </c>
      <c r="D31" t="s">
        <v>20</v>
      </c>
      <c r="E31" s="19" t="s">
        <v>263</v>
      </c>
      <c r="G31" s="18">
        <v>45776</v>
      </c>
      <c r="H31" s="27">
        <f t="shared" si="0"/>
        <v>8741</v>
      </c>
    </row>
    <row r="32" spans="1:8" x14ac:dyDescent="0.4">
      <c r="A32" s="18">
        <v>45758</v>
      </c>
      <c r="B32" s="18" t="s">
        <v>71</v>
      </c>
      <c r="C32" s="27">
        <v>669</v>
      </c>
      <c r="D32" t="s">
        <v>114</v>
      </c>
      <c r="E32" s="19" t="s">
        <v>309</v>
      </c>
      <c r="G32" s="18">
        <v>45777</v>
      </c>
      <c r="H32" s="27">
        <f t="shared" si="0"/>
        <v>17499</v>
      </c>
    </row>
    <row r="33" spans="1:7" x14ac:dyDescent="0.4">
      <c r="A33" s="18">
        <v>45759</v>
      </c>
      <c r="B33" s="18" t="s">
        <v>72</v>
      </c>
      <c r="C33" s="27">
        <v>2060</v>
      </c>
      <c r="D33" t="s">
        <v>114</v>
      </c>
      <c r="E33" s="19" t="s">
        <v>340</v>
      </c>
      <c r="G33" s="18"/>
    </row>
    <row r="34" spans="1:7" x14ac:dyDescent="0.4">
      <c r="A34" s="18">
        <v>45759</v>
      </c>
      <c r="B34" s="18" t="s">
        <v>72</v>
      </c>
      <c r="C34" s="27">
        <v>110</v>
      </c>
      <c r="D34" t="s">
        <v>48</v>
      </c>
      <c r="E34" s="19" t="s">
        <v>185</v>
      </c>
      <c r="G34" s="18"/>
    </row>
    <row r="35" spans="1:7" x14ac:dyDescent="0.4">
      <c r="A35" s="18">
        <v>45759</v>
      </c>
      <c r="B35" s="18" t="s">
        <v>72</v>
      </c>
      <c r="C35" s="27">
        <v>2838</v>
      </c>
      <c r="D35" t="s">
        <v>114</v>
      </c>
      <c r="E35" s="19" t="s">
        <v>341</v>
      </c>
      <c r="G35" s="18"/>
    </row>
    <row r="36" spans="1:7" x14ac:dyDescent="0.4">
      <c r="A36" s="18">
        <v>45759</v>
      </c>
      <c r="B36" s="18" t="s">
        <v>72</v>
      </c>
      <c r="C36" s="27">
        <v>499</v>
      </c>
      <c r="D36" t="s">
        <v>57</v>
      </c>
      <c r="E36" s="19" t="s">
        <v>333</v>
      </c>
      <c r="G36" s="18"/>
    </row>
    <row r="37" spans="1:7" x14ac:dyDescent="0.4">
      <c r="A37" s="18">
        <v>45760</v>
      </c>
      <c r="B37" s="18" t="s">
        <v>73</v>
      </c>
      <c r="C37" s="27">
        <v>1628</v>
      </c>
      <c r="D37" t="s">
        <v>114</v>
      </c>
      <c r="E37" s="19" t="s">
        <v>307</v>
      </c>
      <c r="G37" s="18"/>
    </row>
    <row r="38" spans="1:7" x14ac:dyDescent="0.4">
      <c r="A38" s="18">
        <v>45760</v>
      </c>
      <c r="B38" s="18" t="s">
        <v>73</v>
      </c>
      <c r="C38" s="27">
        <v>3303</v>
      </c>
      <c r="D38" t="s">
        <v>21</v>
      </c>
      <c r="E38" s="19" t="s">
        <v>349</v>
      </c>
      <c r="G38" s="18"/>
    </row>
    <row r="39" spans="1:7" x14ac:dyDescent="0.4">
      <c r="A39" s="18">
        <v>45761</v>
      </c>
      <c r="B39" s="18" t="s">
        <v>56</v>
      </c>
      <c r="C39" s="27">
        <v>200</v>
      </c>
      <c r="D39" t="s">
        <v>114</v>
      </c>
      <c r="E39" s="19" t="s">
        <v>244</v>
      </c>
      <c r="G39" s="18"/>
    </row>
    <row r="40" spans="1:7" x14ac:dyDescent="0.4">
      <c r="A40" s="18">
        <v>45761</v>
      </c>
      <c r="B40" s="18" t="s">
        <v>56</v>
      </c>
      <c r="C40" s="27">
        <v>440</v>
      </c>
      <c r="D40" t="s">
        <v>114</v>
      </c>
      <c r="E40" s="19" t="s">
        <v>355</v>
      </c>
      <c r="G40" s="18"/>
    </row>
    <row r="41" spans="1:7" x14ac:dyDescent="0.4">
      <c r="A41" s="18">
        <v>45761</v>
      </c>
      <c r="B41" s="18" t="s">
        <v>56</v>
      </c>
      <c r="C41" s="27">
        <v>1496</v>
      </c>
      <c r="D41" t="s">
        <v>252</v>
      </c>
      <c r="E41" s="19" t="s">
        <v>361</v>
      </c>
      <c r="G41" s="18"/>
    </row>
    <row r="42" spans="1:7" x14ac:dyDescent="0.4">
      <c r="A42" s="18">
        <v>45761</v>
      </c>
      <c r="B42" s="18" t="s">
        <v>56</v>
      </c>
      <c r="C42" s="27">
        <v>694</v>
      </c>
      <c r="D42" t="s">
        <v>252</v>
      </c>
      <c r="E42" s="19" t="s">
        <v>362</v>
      </c>
      <c r="G42" s="18"/>
    </row>
    <row r="43" spans="1:7" x14ac:dyDescent="0.4">
      <c r="A43" s="18">
        <v>45761</v>
      </c>
      <c r="B43" s="18" t="s">
        <v>56</v>
      </c>
      <c r="C43" s="27">
        <v>682</v>
      </c>
      <c r="D43" t="s">
        <v>252</v>
      </c>
      <c r="E43" s="19" t="s">
        <v>362</v>
      </c>
      <c r="G43" s="18"/>
    </row>
    <row r="44" spans="1:7" x14ac:dyDescent="0.4">
      <c r="A44" s="18">
        <v>45764</v>
      </c>
      <c r="B44" s="18" t="s">
        <v>69</v>
      </c>
      <c r="C44" s="27">
        <v>1403</v>
      </c>
      <c r="D44" t="s">
        <v>114</v>
      </c>
      <c r="E44" s="19" t="s">
        <v>309</v>
      </c>
      <c r="G44" s="18"/>
    </row>
    <row r="45" spans="1:7" x14ac:dyDescent="0.4">
      <c r="A45" s="18">
        <v>45764</v>
      </c>
      <c r="B45" s="18" t="s">
        <v>69</v>
      </c>
      <c r="C45" s="27">
        <v>590</v>
      </c>
      <c r="D45" t="s">
        <v>114</v>
      </c>
      <c r="E45" s="19" t="s">
        <v>315</v>
      </c>
      <c r="G45" s="18"/>
    </row>
    <row r="46" spans="1:7" x14ac:dyDescent="0.4">
      <c r="A46" s="18">
        <v>45764</v>
      </c>
      <c r="B46" s="18" t="s">
        <v>69</v>
      </c>
      <c r="C46" s="27">
        <v>3454</v>
      </c>
      <c r="D46" t="s">
        <v>20</v>
      </c>
      <c r="E46" s="19" t="s">
        <v>112</v>
      </c>
      <c r="G46" s="18"/>
    </row>
    <row r="47" spans="1:7" x14ac:dyDescent="0.4">
      <c r="A47" s="18">
        <v>45765</v>
      </c>
      <c r="B47" s="18" t="s">
        <v>71</v>
      </c>
      <c r="C47" s="27">
        <f>488+100</f>
        <v>588</v>
      </c>
      <c r="D47" t="s">
        <v>114</v>
      </c>
      <c r="E47" s="19" t="s">
        <v>309</v>
      </c>
      <c r="G47" s="18"/>
    </row>
    <row r="48" spans="1:7" x14ac:dyDescent="0.4">
      <c r="A48" s="18">
        <v>45766</v>
      </c>
      <c r="B48" s="18" t="s">
        <v>72</v>
      </c>
      <c r="C48" s="27">
        <v>888</v>
      </c>
      <c r="D48" t="s">
        <v>114</v>
      </c>
      <c r="E48" s="19" t="s">
        <v>341</v>
      </c>
      <c r="G48" s="18"/>
    </row>
    <row r="49" spans="1:7" x14ac:dyDescent="0.4">
      <c r="A49" s="18">
        <v>45766</v>
      </c>
      <c r="B49" s="18" t="s">
        <v>72</v>
      </c>
      <c r="C49" s="27">
        <v>2210</v>
      </c>
      <c r="D49" t="s">
        <v>114</v>
      </c>
      <c r="E49" s="19" t="s">
        <v>340</v>
      </c>
      <c r="G49" s="18"/>
    </row>
    <row r="50" spans="1:7" x14ac:dyDescent="0.4">
      <c r="A50" s="18">
        <v>45766</v>
      </c>
      <c r="B50" s="18" t="s">
        <v>72</v>
      </c>
      <c r="C50" s="27">
        <v>771</v>
      </c>
      <c r="D50" t="s">
        <v>114</v>
      </c>
      <c r="E50" s="19" t="s">
        <v>363</v>
      </c>
      <c r="G50" s="18"/>
    </row>
    <row r="51" spans="1:7" x14ac:dyDescent="0.4">
      <c r="A51" s="18">
        <v>45767</v>
      </c>
      <c r="B51" s="18" t="s">
        <v>73</v>
      </c>
      <c r="C51" s="27">
        <v>1311</v>
      </c>
      <c r="D51" t="s">
        <v>57</v>
      </c>
      <c r="E51" s="19" t="s">
        <v>364</v>
      </c>
      <c r="G51" s="18"/>
    </row>
    <row r="52" spans="1:7" x14ac:dyDescent="0.4">
      <c r="A52" s="18">
        <v>45767</v>
      </c>
      <c r="B52" s="18" t="s">
        <v>73</v>
      </c>
      <c r="C52" s="27">
        <v>1036</v>
      </c>
      <c r="D52" t="s">
        <v>114</v>
      </c>
      <c r="E52" s="19" t="s">
        <v>365</v>
      </c>
      <c r="G52" s="18"/>
    </row>
    <row r="53" spans="1:7" x14ac:dyDescent="0.4">
      <c r="A53" s="18">
        <v>45767</v>
      </c>
      <c r="B53" s="18" t="s">
        <v>73</v>
      </c>
      <c r="C53" s="27">
        <v>2514</v>
      </c>
      <c r="D53" t="s">
        <v>114</v>
      </c>
      <c r="E53" s="19" t="s">
        <v>356</v>
      </c>
      <c r="G53" s="18"/>
    </row>
    <row r="54" spans="1:7" x14ac:dyDescent="0.4">
      <c r="A54" s="18">
        <v>45767</v>
      </c>
      <c r="B54" s="18" t="s">
        <v>73</v>
      </c>
      <c r="C54" s="27">
        <v>1870</v>
      </c>
      <c r="D54" t="s">
        <v>58</v>
      </c>
      <c r="E54" s="19" t="s">
        <v>312</v>
      </c>
      <c r="G54" s="18"/>
    </row>
    <row r="55" spans="1:7" x14ac:dyDescent="0.4">
      <c r="A55" s="18">
        <v>45767</v>
      </c>
      <c r="B55" s="18" t="s">
        <v>73</v>
      </c>
      <c r="C55" s="27">
        <v>2970</v>
      </c>
      <c r="D55" t="s">
        <v>58</v>
      </c>
      <c r="E55" s="147" t="s">
        <v>312</v>
      </c>
      <c r="G55" s="18"/>
    </row>
    <row r="56" spans="1:7" x14ac:dyDescent="0.4">
      <c r="A56" s="18">
        <v>45767</v>
      </c>
      <c r="B56" s="18" t="s">
        <v>73</v>
      </c>
      <c r="C56" s="27">
        <v>1766</v>
      </c>
      <c r="D56" t="s">
        <v>114</v>
      </c>
      <c r="E56" s="19" t="s">
        <v>307</v>
      </c>
      <c r="G56" s="18"/>
    </row>
    <row r="57" spans="1:7" x14ac:dyDescent="0.4">
      <c r="A57" s="18">
        <v>45768</v>
      </c>
      <c r="B57" s="18" t="s">
        <v>56</v>
      </c>
      <c r="C57" s="27">
        <v>2811</v>
      </c>
      <c r="D57" t="s">
        <v>114</v>
      </c>
      <c r="E57" s="19" t="s">
        <v>355</v>
      </c>
      <c r="G57" s="18"/>
    </row>
    <row r="58" spans="1:7" x14ac:dyDescent="0.4">
      <c r="A58" s="18">
        <v>45768</v>
      </c>
      <c r="B58" s="18" t="s">
        <v>56</v>
      </c>
      <c r="C58" s="27">
        <v>1403</v>
      </c>
      <c r="D58" t="s">
        <v>114</v>
      </c>
      <c r="E58" s="19" t="s">
        <v>309</v>
      </c>
      <c r="G58" s="18"/>
    </row>
    <row r="59" spans="1:7" x14ac:dyDescent="0.4">
      <c r="A59" s="18">
        <v>45770</v>
      </c>
      <c r="B59" s="18" t="s">
        <v>67</v>
      </c>
      <c r="C59" s="27">
        <v>1403</v>
      </c>
      <c r="D59" t="s">
        <v>114</v>
      </c>
      <c r="E59" s="19" t="s">
        <v>309</v>
      </c>
      <c r="G59" s="18"/>
    </row>
    <row r="60" spans="1:7" x14ac:dyDescent="0.4">
      <c r="A60" s="18">
        <v>45770</v>
      </c>
      <c r="B60" s="18" t="s">
        <v>67</v>
      </c>
      <c r="C60" s="27">
        <v>590</v>
      </c>
      <c r="D60" t="s">
        <v>114</v>
      </c>
      <c r="E60" s="19" t="s">
        <v>315</v>
      </c>
      <c r="G60" s="18"/>
    </row>
    <row r="61" spans="1:7" x14ac:dyDescent="0.4">
      <c r="A61" s="18">
        <v>45771</v>
      </c>
      <c r="B61" s="18" t="s">
        <v>69</v>
      </c>
      <c r="C61" s="27">
        <f>1350+920</f>
        <v>2270</v>
      </c>
      <c r="D61" t="s">
        <v>114</v>
      </c>
      <c r="E61" s="19" t="s">
        <v>340</v>
      </c>
      <c r="G61" s="18"/>
    </row>
    <row r="62" spans="1:7" x14ac:dyDescent="0.4">
      <c r="A62" s="18">
        <v>45772</v>
      </c>
      <c r="B62" s="18" t="s">
        <v>71</v>
      </c>
      <c r="C62" s="27">
        <v>5017</v>
      </c>
      <c r="D62" t="s">
        <v>249</v>
      </c>
      <c r="E62" s="19" t="s">
        <v>321</v>
      </c>
      <c r="G62" s="18"/>
    </row>
    <row r="63" spans="1:7" x14ac:dyDescent="0.4">
      <c r="A63" s="18">
        <v>45772</v>
      </c>
      <c r="B63" s="18" t="s">
        <v>71</v>
      </c>
      <c r="C63" s="27">
        <v>3828</v>
      </c>
      <c r="D63" t="s">
        <v>249</v>
      </c>
      <c r="E63" s="19" t="s">
        <v>321</v>
      </c>
      <c r="G63" s="18"/>
    </row>
    <row r="64" spans="1:7" x14ac:dyDescent="0.4">
      <c r="A64" s="18">
        <v>45772</v>
      </c>
      <c r="B64" s="18" t="s">
        <v>71</v>
      </c>
      <c r="C64" s="27">
        <v>680</v>
      </c>
      <c r="D64" t="s">
        <v>252</v>
      </c>
      <c r="E64" s="19" t="s">
        <v>366</v>
      </c>
      <c r="G64" s="18"/>
    </row>
    <row r="65" spans="1:7" x14ac:dyDescent="0.4">
      <c r="A65" s="18">
        <v>45773</v>
      </c>
      <c r="B65" s="18" t="s">
        <v>72</v>
      </c>
      <c r="C65" s="27">
        <v>1900</v>
      </c>
      <c r="D65" t="s">
        <v>250</v>
      </c>
      <c r="E65" s="19" t="s">
        <v>304</v>
      </c>
      <c r="G65" s="18"/>
    </row>
    <row r="66" spans="1:7" x14ac:dyDescent="0.4">
      <c r="A66" s="18">
        <v>45774</v>
      </c>
      <c r="B66" s="18" t="s">
        <v>73</v>
      </c>
      <c r="C66" s="27">
        <v>5940</v>
      </c>
      <c r="D66" t="s">
        <v>29</v>
      </c>
      <c r="E66" s="19" t="s">
        <v>321</v>
      </c>
      <c r="G66" s="18"/>
    </row>
    <row r="67" spans="1:7" x14ac:dyDescent="0.4">
      <c r="A67" s="18">
        <v>45774</v>
      </c>
      <c r="B67" s="18" t="s">
        <v>73</v>
      </c>
      <c r="C67" s="27">
        <v>2070</v>
      </c>
      <c r="D67" t="s">
        <v>114</v>
      </c>
      <c r="E67" s="19" t="s">
        <v>340</v>
      </c>
      <c r="G67" s="18"/>
    </row>
    <row r="68" spans="1:7" x14ac:dyDescent="0.4">
      <c r="A68" s="18">
        <v>45774</v>
      </c>
      <c r="B68" s="18" t="s">
        <v>73</v>
      </c>
      <c r="C68" s="27">
        <v>110</v>
      </c>
      <c r="D68" t="s">
        <v>48</v>
      </c>
      <c r="E68" s="19" t="s">
        <v>185</v>
      </c>
      <c r="G68" s="18"/>
    </row>
    <row r="69" spans="1:7" x14ac:dyDescent="0.4">
      <c r="A69" s="18">
        <v>45774</v>
      </c>
      <c r="B69" s="18" t="s">
        <v>73</v>
      </c>
      <c r="C69" s="27">
        <v>5200</v>
      </c>
      <c r="D69" t="s">
        <v>252</v>
      </c>
      <c r="E69" s="19" t="s">
        <v>367</v>
      </c>
      <c r="G69" s="18"/>
    </row>
    <row r="70" spans="1:7" x14ac:dyDescent="0.4">
      <c r="A70" s="18">
        <v>45774</v>
      </c>
      <c r="B70" s="18" t="s">
        <v>73</v>
      </c>
      <c r="C70" s="27">
        <v>2100</v>
      </c>
      <c r="D70" t="s">
        <v>114</v>
      </c>
      <c r="E70" s="19" t="s">
        <v>341</v>
      </c>
      <c r="G70" s="18"/>
    </row>
    <row r="71" spans="1:7" x14ac:dyDescent="0.4">
      <c r="A71" s="18">
        <v>45775</v>
      </c>
      <c r="B71" s="18" t="s">
        <v>56</v>
      </c>
      <c r="C71" s="27">
        <v>4550</v>
      </c>
      <c r="D71" t="s">
        <v>252</v>
      </c>
      <c r="E71" s="19" t="s">
        <v>326</v>
      </c>
      <c r="G71" s="18"/>
    </row>
    <row r="72" spans="1:7" x14ac:dyDescent="0.4">
      <c r="A72" s="18">
        <v>45775</v>
      </c>
      <c r="B72" s="18" t="s">
        <v>56</v>
      </c>
      <c r="C72" s="27">
        <v>100</v>
      </c>
      <c r="D72" t="s">
        <v>48</v>
      </c>
      <c r="E72" s="19" t="s">
        <v>185</v>
      </c>
      <c r="G72" s="18"/>
    </row>
    <row r="73" spans="1:7" x14ac:dyDescent="0.4">
      <c r="A73" s="18">
        <v>45775</v>
      </c>
      <c r="B73" s="18" t="s">
        <v>56</v>
      </c>
      <c r="C73" s="27">
        <v>2100</v>
      </c>
      <c r="D73" t="s">
        <v>114</v>
      </c>
      <c r="E73" s="19" t="s">
        <v>341</v>
      </c>
      <c r="G73" s="18"/>
    </row>
    <row r="74" spans="1:7" x14ac:dyDescent="0.4">
      <c r="A74" s="18">
        <v>45776</v>
      </c>
      <c r="B74" s="18" t="s">
        <v>66</v>
      </c>
      <c r="C74" s="27">
        <v>6980</v>
      </c>
      <c r="D74" t="s">
        <v>29</v>
      </c>
      <c r="E74" s="19" t="s">
        <v>327</v>
      </c>
      <c r="G74" s="18"/>
    </row>
    <row r="75" spans="1:7" x14ac:dyDescent="0.4">
      <c r="A75" s="18">
        <v>45776</v>
      </c>
      <c r="B75" s="18" t="s">
        <v>66</v>
      </c>
      <c r="C75" s="27">
        <v>216</v>
      </c>
      <c r="D75" t="s">
        <v>114</v>
      </c>
      <c r="E75" s="19" t="s">
        <v>344</v>
      </c>
      <c r="G75" s="18"/>
    </row>
    <row r="76" spans="1:7" x14ac:dyDescent="0.4">
      <c r="A76" s="18">
        <v>45776</v>
      </c>
      <c r="B76" s="18" t="s">
        <v>66</v>
      </c>
      <c r="C76" s="27">
        <f>1761-216</f>
        <v>1545</v>
      </c>
      <c r="D76" t="s">
        <v>57</v>
      </c>
      <c r="E76" s="19" t="s">
        <v>344</v>
      </c>
      <c r="G76" s="18"/>
    </row>
    <row r="77" spans="1:7" x14ac:dyDescent="0.4">
      <c r="A77" s="18">
        <v>45777</v>
      </c>
      <c r="B77" s="18" t="s">
        <v>67</v>
      </c>
      <c r="C77" s="27">
        <v>1714</v>
      </c>
      <c r="D77" t="s">
        <v>20</v>
      </c>
      <c r="E77" s="19" t="s">
        <v>262</v>
      </c>
      <c r="G77" s="18"/>
    </row>
    <row r="78" spans="1:7" x14ac:dyDescent="0.4">
      <c r="A78" s="18">
        <v>45777</v>
      </c>
      <c r="B78" s="18" t="s">
        <v>67</v>
      </c>
      <c r="C78" s="27">
        <v>12331</v>
      </c>
      <c r="D78" t="s">
        <v>20</v>
      </c>
      <c r="E78" s="19" t="s">
        <v>263</v>
      </c>
      <c r="G78" s="18"/>
    </row>
    <row r="79" spans="1:7" x14ac:dyDescent="0.4">
      <c r="A79" s="18">
        <v>45777</v>
      </c>
      <c r="B79" s="18" t="s">
        <v>67</v>
      </c>
      <c r="C79" s="27">
        <v>3454</v>
      </c>
      <c r="D79" t="s">
        <v>20</v>
      </c>
      <c r="E79" s="19" t="s">
        <v>112</v>
      </c>
      <c r="G79" s="18"/>
    </row>
    <row r="80" spans="1:7" x14ac:dyDescent="0.4">
      <c r="A80" s="18"/>
      <c r="B80" s="18"/>
    </row>
    <row r="81" spans="1:2" x14ac:dyDescent="0.4">
      <c r="A81" s="18"/>
      <c r="B81" s="18"/>
    </row>
    <row r="82" spans="1:2" x14ac:dyDescent="0.4">
      <c r="A82" s="18"/>
      <c r="B82" s="18"/>
    </row>
    <row r="83" spans="1:2" x14ac:dyDescent="0.4">
      <c r="A83" s="18"/>
      <c r="B83" s="18"/>
    </row>
    <row r="84" spans="1:2" x14ac:dyDescent="0.4">
      <c r="A84" s="18"/>
      <c r="B84" s="18"/>
    </row>
    <row r="85" spans="1:2" x14ac:dyDescent="0.4">
      <c r="A85" s="18"/>
      <c r="B85" s="18"/>
    </row>
    <row r="86" spans="1:2" x14ac:dyDescent="0.4">
      <c r="A86" s="18"/>
      <c r="B86" s="18"/>
    </row>
    <row r="87" spans="1:2" x14ac:dyDescent="0.4">
      <c r="A87" s="18"/>
      <c r="B87" s="18"/>
    </row>
    <row r="88" spans="1:2" x14ac:dyDescent="0.4">
      <c r="A88" s="18"/>
      <c r="B88" s="18"/>
    </row>
    <row r="89" spans="1:2" x14ac:dyDescent="0.4">
      <c r="A89" s="18"/>
      <c r="B89" s="18"/>
    </row>
    <row r="90" spans="1:2" x14ac:dyDescent="0.4">
      <c r="A90" s="18"/>
      <c r="B90" s="18"/>
    </row>
    <row r="91" spans="1:2" x14ac:dyDescent="0.4">
      <c r="A91" s="18"/>
      <c r="B91" s="18"/>
    </row>
    <row r="92" spans="1:2" x14ac:dyDescent="0.4">
      <c r="A92" s="18"/>
      <c r="B92" s="18"/>
    </row>
    <row r="93" spans="1:2" x14ac:dyDescent="0.4">
      <c r="A93" s="18"/>
      <c r="B93" s="18"/>
    </row>
    <row r="94" spans="1:2" x14ac:dyDescent="0.4">
      <c r="A94" s="18"/>
      <c r="B94" s="18"/>
    </row>
    <row r="95" spans="1:2" x14ac:dyDescent="0.4">
      <c r="A95" s="18"/>
      <c r="B95" s="18"/>
    </row>
  </sheetData>
  <autoFilter ref="A2:E76" xr:uid="{737D4461-6B9F-4228-A67C-43B7881EA4B2}"/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17D8F-F817-49ED-A94A-385A4D9ADA5E}">
  <sheetPr codeName="Sheet24"/>
  <dimension ref="A1:H103"/>
  <sheetViews>
    <sheetView workbookViewId="0">
      <pane ySplit="2" topLeftCell="A3" activePane="bottomLeft" state="frozen"/>
      <selection activeCell="E30" sqref="E30"/>
      <selection pane="bottomLeft" activeCell="E93" sqref="E93"/>
    </sheetView>
  </sheetViews>
  <sheetFormatPr defaultRowHeight="18.75" x14ac:dyDescent="0.4"/>
  <cols>
    <col min="2" max="2" width="4.875" bestFit="1" customWidth="1"/>
    <col min="3" max="3" width="9" style="27"/>
    <col min="4" max="4" width="18.25" bestFit="1" customWidth="1"/>
    <col min="5" max="5" width="35.875" style="19" bestFit="1" customWidth="1"/>
    <col min="8" max="8" width="9" style="27"/>
  </cols>
  <sheetData>
    <row r="1" spans="1:8" x14ac:dyDescent="0.4">
      <c r="C1" s="27">
        <f>SUM(C3:C209)</f>
        <v>410560</v>
      </c>
      <c r="H1" s="27">
        <f>SUM(H3:H212)</f>
        <v>410560</v>
      </c>
    </row>
    <row r="2" spans="1:8" x14ac:dyDescent="0.4">
      <c r="A2" s="20" t="s">
        <v>50</v>
      </c>
      <c r="B2" s="20" t="s">
        <v>55</v>
      </c>
      <c r="C2" s="28" t="s">
        <v>52</v>
      </c>
      <c r="D2" s="20" t="s">
        <v>51</v>
      </c>
      <c r="E2" s="21" t="s">
        <v>53</v>
      </c>
      <c r="G2" s="20" t="s">
        <v>50</v>
      </c>
      <c r="H2" s="28" t="s">
        <v>52</v>
      </c>
    </row>
    <row r="3" spans="1:8" x14ac:dyDescent="0.4">
      <c r="A3" s="18">
        <v>45778</v>
      </c>
      <c r="B3" s="18" t="s">
        <v>69</v>
      </c>
      <c r="C3" s="27">
        <v>100000</v>
      </c>
      <c r="D3" t="s">
        <v>97</v>
      </c>
      <c r="E3" s="19" t="s">
        <v>90</v>
      </c>
      <c r="G3" s="18">
        <v>45778</v>
      </c>
      <c r="H3" s="27">
        <f t="shared" ref="H3:H33" si="0">SUMIF($A$3:$A$257,$G3,$C$3:$C$257)</f>
        <v>268620</v>
      </c>
    </row>
    <row r="4" spans="1:8" x14ac:dyDescent="0.4">
      <c r="A4" s="18">
        <v>45778</v>
      </c>
      <c r="B4" s="18" t="s">
        <v>69</v>
      </c>
      <c r="C4" s="27">
        <v>150000</v>
      </c>
      <c r="D4" t="s">
        <v>42</v>
      </c>
      <c r="E4" t="s">
        <v>42</v>
      </c>
      <c r="G4" s="18">
        <v>45779</v>
      </c>
      <c r="H4" s="27">
        <f t="shared" si="0"/>
        <v>5669</v>
      </c>
    </row>
    <row r="5" spans="1:8" x14ac:dyDescent="0.4">
      <c r="A5" s="18">
        <v>45778</v>
      </c>
      <c r="B5" s="18" t="s">
        <v>69</v>
      </c>
      <c r="C5" s="27">
        <f>4277</f>
        <v>4277</v>
      </c>
      <c r="D5" t="s">
        <v>58</v>
      </c>
      <c r="E5" s="19" t="s">
        <v>299</v>
      </c>
      <c r="G5" s="18">
        <v>45780</v>
      </c>
      <c r="H5" s="27">
        <f t="shared" si="0"/>
        <v>8198</v>
      </c>
    </row>
    <row r="6" spans="1:8" x14ac:dyDescent="0.4">
      <c r="A6" s="18">
        <v>45778</v>
      </c>
      <c r="B6" s="18" t="s">
        <v>69</v>
      </c>
      <c r="C6" s="27">
        <v>3110</v>
      </c>
      <c r="D6" t="s">
        <v>25</v>
      </c>
      <c r="E6" s="19" t="s">
        <v>302</v>
      </c>
      <c r="G6" s="18">
        <v>45781</v>
      </c>
      <c r="H6" s="27">
        <f t="shared" si="0"/>
        <v>11551</v>
      </c>
    </row>
    <row r="7" spans="1:8" x14ac:dyDescent="0.4">
      <c r="A7" s="18">
        <v>45778</v>
      </c>
      <c r="B7" s="18" t="s">
        <v>69</v>
      </c>
      <c r="C7" s="27">
        <v>3610</v>
      </c>
      <c r="D7" t="s">
        <v>25</v>
      </c>
      <c r="E7" s="19" t="s">
        <v>297</v>
      </c>
      <c r="G7" s="18">
        <v>45782</v>
      </c>
      <c r="H7" s="27">
        <f t="shared" si="0"/>
        <v>11342</v>
      </c>
    </row>
    <row r="8" spans="1:8" x14ac:dyDescent="0.4">
      <c r="A8" s="18">
        <v>45778</v>
      </c>
      <c r="B8" s="18" t="s">
        <v>69</v>
      </c>
      <c r="C8" s="27">
        <v>360</v>
      </c>
      <c r="D8" t="s">
        <v>25</v>
      </c>
      <c r="E8" s="19" t="s">
        <v>298</v>
      </c>
      <c r="G8" s="18">
        <v>45783</v>
      </c>
      <c r="H8" s="27">
        <f t="shared" si="0"/>
        <v>0</v>
      </c>
    </row>
    <row r="9" spans="1:8" x14ac:dyDescent="0.4">
      <c r="A9" s="18">
        <v>45778</v>
      </c>
      <c r="B9" s="18" t="s">
        <v>69</v>
      </c>
      <c r="C9" s="27">
        <f>1800+3470</f>
        <v>5270</v>
      </c>
      <c r="D9" t="s">
        <v>25</v>
      </c>
      <c r="E9" s="19" t="s">
        <v>301</v>
      </c>
      <c r="G9" s="18">
        <v>45784</v>
      </c>
      <c r="H9" s="27">
        <f t="shared" si="0"/>
        <v>5659</v>
      </c>
    </row>
    <row r="10" spans="1:8" x14ac:dyDescent="0.4">
      <c r="A10" s="18">
        <v>45778</v>
      </c>
      <c r="B10" s="18" t="s">
        <v>69</v>
      </c>
      <c r="C10" s="27">
        <v>1403</v>
      </c>
      <c r="D10" t="s">
        <v>114</v>
      </c>
      <c r="E10" s="19" t="s">
        <v>309</v>
      </c>
      <c r="G10" s="18">
        <v>45785</v>
      </c>
      <c r="H10" s="27">
        <f t="shared" si="0"/>
        <v>1459</v>
      </c>
    </row>
    <row r="11" spans="1:8" x14ac:dyDescent="0.4">
      <c r="A11" s="18">
        <v>45778</v>
      </c>
      <c r="B11" s="18" t="s">
        <v>69</v>
      </c>
      <c r="C11" s="27">
        <v>590</v>
      </c>
      <c r="D11" t="s">
        <v>114</v>
      </c>
      <c r="E11" s="19" t="s">
        <v>368</v>
      </c>
      <c r="G11" s="18">
        <v>45786</v>
      </c>
      <c r="H11" s="27">
        <f t="shared" si="0"/>
        <v>1425</v>
      </c>
    </row>
    <row r="12" spans="1:8" x14ac:dyDescent="0.4">
      <c r="A12" s="18">
        <v>45779</v>
      </c>
      <c r="B12" s="18" t="s">
        <v>71</v>
      </c>
      <c r="C12" s="27">
        <v>669</v>
      </c>
      <c r="D12" t="s">
        <v>114</v>
      </c>
      <c r="E12" s="19" t="s">
        <v>309</v>
      </c>
      <c r="G12" s="18">
        <v>45787</v>
      </c>
      <c r="H12" s="27">
        <f t="shared" si="0"/>
        <v>6047</v>
      </c>
    </row>
    <row r="13" spans="1:8" x14ac:dyDescent="0.4">
      <c r="A13" s="18">
        <v>45779</v>
      </c>
      <c r="B13" s="18" t="s">
        <v>71</v>
      </c>
      <c r="C13" s="27">
        <v>5000</v>
      </c>
      <c r="D13" t="s">
        <v>29</v>
      </c>
      <c r="E13" s="19" t="s">
        <v>254</v>
      </c>
      <c r="G13" s="18">
        <v>45788</v>
      </c>
      <c r="H13" s="27">
        <f t="shared" si="0"/>
        <v>1663</v>
      </c>
    </row>
    <row r="14" spans="1:8" x14ac:dyDescent="0.4">
      <c r="A14" s="18">
        <v>45780</v>
      </c>
      <c r="B14" s="18" t="s">
        <v>72</v>
      </c>
      <c r="C14" s="27">
        <v>100</v>
      </c>
      <c r="D14" t="s">
        <v>255</v>
      </c>
      <c r="E14" t="s">
        <v>198</v>
      </c>
      <c r="G14" s="18">
        <v>45789</v>
      </c>
      <c r="H14" s="27">
        <f t="shared" si="0"/>
        <v>3614</v>
      </c>
    </row>
    <row r="15" spans="1:8" x14ac:dyDescent="0.4">
      <c r="A15" s="18">
        <v>45780</v>
      </c>
      <c r="B15" s="18" t="s">
        <v>72</v>
      </c>
      <c r="C15" s="27">
        <v>858</v>
      </c>
      <c r="D15" t="s">
        <v>255</v>
      </c>
      <c r="E15" t="s">
        <v>305</v>
      </c>
      <c r="G15" s="18">
        <v>45790</v>
      </c>
      <c r="H15" s="27">
        <f t="shared" si="0"/>
        <v>5711</v>
      </c>
    </row>
    <row r="16" spans="1:8" x14ac:dyDescent="0.4">
      <c r="A16" s="18">
        <v>45780</v>
      </c>
      <c r="B16" s="18" t="s">
        <v>72</v>
      </c>
      <c r="C16" s="27">
        <v>400</v>
      </c>
      <c r="D16" t="s">
        <v>255</v>
      </c>
      <c r="E16" t="s">
        <v>306</v>
      </c>
      <c r="G16" s="18">
        <v>45791</v>
      </c>
      <c r="H16" s="27">
        <f t="shared" si="0"/>
        <v>1931</v>
      </c>
    </row>
    <row r="17" spans="1:8" x14ac:dyDescent="0.4">
      <c r="A17" s="18">
        <v>45780</v>
      </c>
      <c r="B17" s="18" t="s">
        <v>72</v>
      </c>
      <c r="C17" s="27">
        <v>4700</v>
      </c>
      <c r="D17" t="s">
        <v>252</v>
      </c>
      <c r="E17" t="s">
        <v>369</v>
      </c>
      <c r="G17" s="18">
        <v>45792</v>
      </c>
      <c r="H17" s="27">
        <f t="shared" si="0"/>
        <v>2971</v>
      </c>
    </row>
    <row r="18" spans="1:8" x14ac:dyDescent="0.4">
      <c r="A18" s="18">
        <v>45780</v>
      </c>
      <c r="B18" s="18" t="s">
        <v>72</v>
      </c>
      <c r="C18" s="27">
        <v>200</v>
      </c>
      <c r="D18" t="s">
        <v>255</v>
      </c>
      <c r="E18" t="s">
        <v>370</v>
      </c>
      <c r="G18" s="18">
        <v>45793</v>
      </c>
      <c r="H18" s="27">
        <f t="shared" si="0"/>
        <v>669</v>
      </c>
    </row>
    <row r="19" spans="1:8" x14ac:dyDescent="0.4">
      <c r="A19" s="18">
        <v>45780</v>
      </c>
      <c r="B19" s="18" t="s">
        <v>72</v>
      </c>
      <c r="C19" s="27">
        <v>1940</v>
      </c>
      <c r="D19" t="s">
        <v>114</v>
      </c>
      <c r="E19" t="s">
        <v>371</v>
      </c>
      <c r="G19" s="18">
        <v>45794</v>
      </c>
      <c r="H19" s="27">
        <f t="shared" si="0"/>
        <v>5945</v>
      </c>
    </row>
    <row r="20" spans="1:8" x14ac:dyDescent="0.4">
      <c r="A20" s="18">
        <v>45781</v>
      </c>
      <c r="B20" s="18" t="s">
        <v>73</v>
      </c>
      <c r="C20" s="27">
        <v>100</v>
      </c>
      <c r="D20" t="s">
        <v>48</v>
      </c>
      <c r="E20" t="s">
        <v>198</v>
      </c>
      <c r="G20" s="18">
        <v>45795</v>
      </c>
      <c r="H20" s="27">
        <f t="shared" si="0"/>
        <v>4321</v>
      </c>
    </row>
    <row r="21" spans="1:8" x14ac:dyDescent="0.4">
      <c r="A21" s="18">
        <v>45781</v>
      </c>
      <c r="B21" s="18" t="s">
        <v>73</v>
      </c>
      <c r="C21" s="27">
        <v>580</v>
      </c>
      <c r="D21" t="s">
        <v>114</v>
      </c>
      <c r="E21" t="s">
        <v>372</v>
      </c>
      <c r="G21" s="18">
        <v>45796</v>
      </c>
      <c r="H21" s="27">
        <f t="shared" si="0"/>
        <v>0</v>
      </c>
    </row>
    <row r="22" spans="1:8" x14ac:dyDescent="0.4">
      <c r="A22" s="18">
        <v>45781</v>
      </c>
      <c r="B22" s="18" t="s">
        <v>73</v>
      </c>
      <c r="C22" s="27">
        <v>1870</v>
      </c>
      <c r="D22" t="s">
        <v>58</v>
      </c>
      <c r="E22" s="19" t="s">
        <v>312</v>
      </c>
      <c r="G22" s="18">
        <v>45797</v>
      </c>
      <c r="H22" s="27">
        <f t="shared" si="0"/>
        <v>2201</v>
      </c>
    </row>
    <row r="23" spans="1:8" x14ac:dyDescent="0.4">
      <c r="A23" s="18">
        <v>45781</v>
      </c>
      <c r="B23" s="18" t="s">
        <v>73</v>
      </c>
      <c r="C23" s="27">
        <v>1760</v>
      </c>
      <c r="D23" t="s">
        <v>58</v>
      </c>
      <c r="E23" s="19" t="s">
        <v>312</v>
      </c>
      <c r="G23" s="18">
        <v>45798</v>
      </c>
      <c r="H23" s="27">
        <f t="shared" si="0"/>
        <v>5323</v>
      </c>
    </row>
    <row r="24" spans="1:8" x14ac:dyDescent="0.4">
      <c r="A24" s="18">
        <v>45781</v>
      </c>
      <c r="B24" s="18" t="s">
        <v>73</v>
      </c>
      <c r="C24" s="27">
        <v>797</v>
      </c>
      <c r="D24" t="s">
        <v>114</v>
      </c>
      <c r="E24" t="s">
        <v>373</v>
      </c>
      <c r="G24" s="18">
        <v>45799</v>
      </c>
      <c r="H24" s="27">
        <f t="shared" si="0"/>
        <v>6663</v>
      </c>
    </row>
    <row r="25" spans="1:8" x14ac:dyDescent="0.4">
      <c r="A25" s="18">
        <v>45781</v>
      </c>
      <c r="B25" s="18" t="s">
        <v>73</v>
      </c>
      <c r="C25" s="27">
        <v>1760</v>
      </c>
      <c r="D25" t="s">
        <v>58</v>
      </c>
      <c r="E25" s="19" t="s">
        <v>260</v>
      </c>
      <c r="G25" s="18">
        <v>45800</v>
      </c>
      <c r="H25" s="27">
        <f t="shared" si="0"/>
        <v>8676</v>
      </c>
    </row>
    <row r="26" spans="1:8" x14ac:dyDescent="0.4">
      <c r="A26" s="18">
        <v>45781</v>
      </c>
      <c r="B26" s="18" t="s">
        <v>73</v>
      </c>
      <c r="C26" s="27">
        <v>1650</v>
      </c>
      <c r="D26" t="s">
        <v>58</v>
      </c>
      <c r="E26" s="19" t="s">
        <v>260</v>
      </c>
      <c r="G26" s="18">
        <v>45801</v>
      </c>
      <c r="H26" s="27">
        <f t="shared" si="0"/>
        <v>4200</v>
      </c>
    </row>
    <row r="27" spans="1:8" x14ac:dyDescent="0.4">
      <c r="A27" s="18">
        <v>45781</v>
      </c>
      <c r="B27" s="18" t="s">
        <v>73</v>
      </c>
      <c r="C27" s="27">
        <v>1300</v>
      </c>
      <c r="D27" t="s">
        <v>58</v>
      </c>
      <c r="E27" s="19" t="s">
        <v>260</v>
      </c>
      <c r="G27" s="18">
        <v>45802</v>
      </c>
      <c r="H27" s="27">
        <f t="shared" si="0"/>
        <v>9995</v>
      </c>
    </row>
    <row r="28" spans="1:8" x14ac:dyDescent="0.4">
      <c r="A28" s="18">
        <v>45781</v>
      </c>
      <c r="B28" s="18" t="s">
        <v>73</v>
      </c>
      <c r="C28" s="27">
        <v>1734</v>
      </c>
      <c r="D28" t="s">
        <v>114</v>
      </c>
      <c r="E28" s="19" t="s">
        <v>307</v>
      </c>
      <c r="G28" s="18">
        <v>45803</v>
      </c>
      <c r="H28" s="27">
        <f t="shared" si="0"/>
        <v>0</v>
      </c>
    </row>
    <row r="29" spans="1:8" x14ac:dyDescent="0.4">
      <c r="A29" s="18">
        <v>45782</v>
      </c>
      <c r="B29" s="18" t="s">
        <v>56</v>
      </c>
      <c r="C29" s="27">
        <v>980</v>
      </c>
      <c r="D29" t="s">
        <v>58</v>
      </c>
      <c r="E29" s="19" t="s">
        <v>143</v>
      </c>
      <c r="G29" s="18">
        <v>45804</v>
      </c>
      <c r="H29" s="27">
        <f t="shared" si="0"/>
        <v>3023</v>
      </c>
    </row>
    <row r="30" spans="1:8" x14ac:dyDescent="0.4">
      <c r="A30" s="18">
        <v>45782</v>
      </c>
      <c r="B30" s="18" t="s">
        <v>56</v>
      </c>
      <c r="C30" s="27">
        <v>100</v>
      </c>
      <c r="D30" t="s">
        <v>48</v>
      </c>
      <c r="E30" t="s">
        <v>198</v>
      </c>
      <c r="G30" s="18">
        <v>45805</v>
      </c>
      <c r="H30" s="27">
        <f t="shared" si="0"/>
        <v>6950</v>
      </c>
    </row>
    <row r="31" spans="1:8" x14ac:dyDescent="0.4">
      <c r="A31" s="18">
        <v>45782</v>
      </c>
      <c r="B31" s="18" t="s">
        <v>56</v>
      </c>
      <c r="C31" s="27">
        <f>858*2</f>
        <v>1716</v>
      </c>
      <c r="D31" t="s">
        <v>48</v>
      </c>
      <c r="E31" s="19" t="s">
        <v>305</v>
      </c>
      <c r="G31" s="18">
        <v>45806</v>
      </c>
      <c r="H31" s="27">
        <f t="shared" si="0"/>
        <v>1439</v>
      </c>
    </row>
    <row r="32" spans="1:8" x14ac:dyDescent="0.4">
      <c r="A32" s="18">
        <v>45782</v>
      </c>
      <c r="B32" s="18" t="s">
        <v>56</v>
      </c>
      <c r="C32" s="27">
        <v>1500</v>
      </c>
      <c r="D32" t="s">
        <v>48</v>
      </c>
      <c r="E32" s="19" t="s">
        <v>306</v>
      </c>
      <c r="G32" s="18">
        <v>45807</v>
      </c>
      <c r="H32" s="27">
        <f t="shared" si="0"/>
        <v>0</v>
      </c>
    </row>
    <row r="33" spans="1:8" x14ac:dyDescent="0.4">
      <c r="A33" s="18">
        <v>45782</v>
      </c>
      <c r="B33" s="18" t="s">
        <v>56</v>
      </c>
      <c r="C33" s="27">
        <v>190</v>
      </c>
      <c r="D33" t="s">
        <v>114</v>
      </c>
      <c r="E33" s="19" t="s">
        <v>256</v>
      </c>
      <c r="G33" s="18">
        <v>45808</v>
      </c>
      <c r="H33" s="27">
        <f t="shared" si="0"/>
        <v>15295</v>
      </c>
    </row>
    <row r="34" spans="1:8" x14ac:dyDescent="0.4">
      <c r="A34" s="18">
        <v>45782</v>
      </c>
      <c r="B34" s="18" t="s">
        <v>56</v>
      </c>
      <c r="C34" s="27">
        <f>560*2</f>
        <v>1120</v>
      </c>
      <c r="D34" t="s">
        <v>48</v>
      </c>
      <c r="E34" s="19" t="s">
        <v>306</v>
      </c>
      <c r="G34" s="18"/>
    </row>
    <row r="35" spans="1:8" x14ac:dyDescent="0.4">
      <c r="A35" s="18">
        <v>45782</v>
      </c>
      <c r="B35" s="18" t="s">
        <v>56</v>
      </c>
      <c r="C35" s="27">
        <v>2000</v>
      </c>
      <c r="D35" t="s">
        <v>252</v>
      </c>
      <c r="E35" s="19" t="s">
        <v>374</v>
      </c>
      <c r="G35" s="18"/>
    </row>
    <row r="36" spans="1:8" x14ac:dyDescent="0.4">
      <c r="A36" s="18">
        <v>45782</v>
      </c>
      <c r="B36" s="18" t="s">
        <v>56</v>
      </c>
      <c r="C36" s="27">
        <v>1500</v>
      </c>
      <c r="D36" t="s">
        <v>114</v>
      </c>
      <c r="E36" s="19" t="s">
        <v>341</v>
      </c>
      <c r="G36" s="18"/>
    </row>
    <row r="37" spans="1:8" x14ac:dyDescent="0.4">
      <c r="A37" s="18">
        <v>45782</v>
      </c>
      <c r="B37" s="18" t="s">
        <v>56</v>
      </c>
      <c r="C37" s="27">
        <v>2236</v>
      </c>
      <c r="D37" t="s">
        <v>114</v>
      </c>
      <c r="E37" s="19" t="s">
        <v>341</v>
      </c>
      <c r="G37" s="18"/>
    </row>
    <row r="38" spans="1:8" x14ac:dyDescent="0.4">
      <c r="A38" s="18">
        <v>45784</v>
      </c>
      <c r="B38" s="18" t="s">
        <v>67</v>
      </c>
      <c r="C38" s="27">
        <v>888</v>
      </c>
      <c r="D38" t="s">
        <v>114</v>
      </c>
      <c r="E38" s="19" t="s">
        <v>309</v>
      </c>
      <c r="G38" s="18"/>
    </row>
    <row r="39" spans="1:8" x14ac:dyDescent="0.4">
      <c r="A39" s="18">
        <v>45784</v>
      </c>
      <c r="B39" s="18" t="s">
        <v>67</v>
      </c>
      <c r="C39" s="27">
        <v>590</v>
      </c>
      <c r="D39" t="s">
        <v>114</v>
      </c>
      <c r="E39" s="19" t="s">
        <v>368</v>
      </c>
      <c r="G39" s="18"/>
    </row>
    <row r="40" spans="1:8" x14ac:dyDescent="0.4">
      <c r="A40" s="18">
        <v>45784</v>
      </c>
      <c r="B40" s="18" t="s">
        <v>67</v>
      </c>
      <c r="C40" s="27">
        <v>170</v>
      </c>
      <c r="D40" t="s">
        <v>114</v>
      </c>
      <c r="E40" s="19" t="s">
        <v>186</v>
      </c>
      <c r="G40" s="18"/>
    </row>
    <row r="41" spans="1:8" x14ac:dyDescent="0.4">
      <c r="A41" s="18">
        <v>45784</v>
      </c>
      <c r="B41" s="18" t="s">
        <v>67</v>
      </c>
      <c r="C41" s="27">
        <v>711</v>
      </c>
      <c r="D41" t="s">
        <v>94</v>
      </c>
      <c r="E41" s="19" t="s">
        <v>375</v>
      </c>
      <c r="G41" s="18"/>
    </row>
    <row r="42" spans="1:8" x14ac:dyDescent="0.4">
      <c r="A42" s="18">
        <v>45784</v>
      </c>
      <c r="B42" s="18" t="s">
        <v>67</v>
      </c>
      <c r="C42" s="27">
        <v>3300</v>
      </c>
      <c r="D42" t="s">
        <v>259</v>
      </c>
      <c r="E42" s="19" t="s">
        <v>347</v>
      </c>
      <c r="G42" s="18"/>
    </row>
    <row r="43" spans="1:8" x14ac:dyDescent="0.4">
      <c r="A43" s="18">
        <v>45785</v>
      </c>
      <c r="B43" s="18" t="s">
        <v>69</v>
      </c>
      <c r="C43" s="27">
        <v>669</v>
      </c>
      <c r="D43" t="s">
        <v>114</v>
      </c>
      <c r="E43" s="19" t="s">
        <v>309</v>
      </c>
      <c r="G43" s="18"/>
    </row>
    <row r="44" spans="1:8" x14ac:dyDescent="0.4">
      <c r="A44" s="18">
        <v>45785</v>
      </c>
      <c r="B44" s="18" t="s">
        <v>69</v>
      </c>
      <c r="C44" s="27">
        <v>790</v>
      </c>
      <c r="D44" t="s">
        <v>114</v>
      </c>
      <c r="E44" s="19" t="s">
        <v>340</v>
      </c>
      <c r="G44" s="18"/>
    </row>
    <row r="45" spans="1:8" x14ac:dyDescent="0.4">
      <c r="A45" s="18">
        <v>45786</v>
      </c>
      <c r="B45" s="18" t="s">
        <v>71</v>
      </c>
      <c r="C45" s="27">
        <v>1425</v>
      </c>
      <c r="D45" t="s">
        <v>114</v>
      </c>
      <c r="E45" s="19" t="s">
        <v>309</v>
      </c>
      <c r="G45" s="18"/>
    </row>
    <row r="46" spans="1:8" x14ac:dyDescent="0.4">
      <c r="A46" s="18">
        <v>45787</v>
      </c>
      <c r="B46" s="18" t="s">
        <v>72</v>
      </c>
      <c r="C46" s="27">
        <f>1360+960+950</f>
        <v>3270</v>
      </c>
      <c r="D46" t="s">
        <v>114</v>
      </c>
      <c r="E46" s="19" t="s">
        <v>340</v>
      </c>
      <c r="G46" s="18"/>
    </row>
    <row r="47" spans="1:8" x14ac:dyDescent="0.4">
      <c r="A47" s="18">
        <v>45787</v>
      </c>
      <c r="B47" s="18" t="s">
        <v>72</v>
      </c>
      <c r="C47" s="27">
        <v>2267</v>
      </c>
      <c r="D47" t="s">
        <v>94</v>
      </c>
      <c r="E47" s="19" t="s">
        <v>376</v>
      </c>
      <c r="G47" s="18"/>
    </row>
    <row r="48" spans="1:8" x14ac:dyDescent="0.4">
      <c r="A48" s="18">
        <v>45787</v>
      </c>
      <c r="B48" s="18" t="s">
        <v>72</v>
      </c>
      <c r="C48" s="27">
        <v>510</v>
      </c>
      <c r="D48" t="s">
        <v>114</v>
      </c>
      <c r="E48" s="19" t="s">
        <v>341</v>
      </c>
      <c r="G48" s="18"/>
    </row>
    <row r="49" spans="1:7" x14ac:dyDescent="0.4">
      <c r="A49" s="18">
        <v>45788</v>
      </c>
      <c r="B49" s="18" t="s">
        <v>73</v>
      </c>
      <c r="C49" s="27">
        <v>1663</v>
      </c>
      <c r="D49" t="s">
        <v>114</v>
      </c>
      <c r="E49" s="19" t="s">
        <v>307</v>
      </c>
      <c r="G49" s="18"/>
    </row>
    <row r="50" spans="1:7" x14ac:dyDescent="0.4">
      <c r="A50" s="18">
        <v>45789</v>
      </c>
      <c r="B50" s="18" t="s">
        <v>56</v>
      </c>
      <c r="C50" s="27">
        <v>743</v>
      </c>
      <c r="D50" t="s">
        <v>94</v>
      </c>
      <c r="E50" s="19" t="s">
        <v>377</v>
      </c>
      <c r="G50" s="18"/>
    </row>
    <row r="51" spans="1:7" x14ac:dyDescent="0.4">
      <c r="A51" s="18">
        <v>45789</v>
      </c>
      <c r="B51" s="18" t="s">
        <v>56</v>
      </c>
      <c r="C51" s="27">
        <v>1980</v>
      </c>
      <c r="D51" t="s">
        <v>58</v>
      </c>
      <c r="E51" s="19" t="s">
        <v>312</v>
      </c>
      <c r="G51" s="18"/>
    </row>
    <row r="52" spans="1:7" x14ac:dyDescent="0.4">
      <c r="A52" s="18">
        <v>45789</v>
      </c>
      <c r="B52" s="18" t="s">
        <v>56</v>
      </c>
      <c r="C52" s="27">
        <v>891</v>
      </c>
      <c r="D52" t="s">
        <v>94</v>
      </c>
      <c r="E52" s="19" t="s">
        <v>377</v>
      </c>
      <c r="G52" s="18"/>
    </row>
    <row r="53" spans="1:7" x14ac:dyDescent="0.4">
      <c r="A53" s="18">
        <v>45790</v>
      </c>
      <c r="B53" s="18" t="s">
        <v>66</v>
      </c>
      <c r="C53" s="27">
        <v>3281</v>
      </c>
      <c r="D53" t="s">
        <v>21</v>
      </c>
      <c r="E53" s="19" t="s">
        <v>349</v>
      </c>
      <c r="G53" s="18"/>
    </row>
    <row r="54" spans="1:7" x14ac:dyDescent="0.4">
      <c r="A54" s="18">
        <v>45790</v>
      </c>
      <c r="B54" s="18" t="s">
        <v>66</v>
      </c>
      <c r="C54" s="27">
        <v>1530</v>
      </c>
      <c r="D54" t="s">
        <v>29</v>
      </c>
      <c r="E54" s="19" t="s">
        <v>321</v>
      </c>
      <c r="G54" s="18"/>
    </row>
    <row r="55" spans="1:7" x14ac:dyDescent="0.4">
      <c r="A55" s="18">
        <v>45790</v>
      </c>
      <c r="B55" s="18" t="s">
        <v>66</v>
      </c>
      <c r="C55" s="27">
        <v>900</v>
      </c>
      <c r="D55" t="s">
        <v>29</v>
      </c>
      <c r="E55" s="19" t="s">
        <v>321</v>
      </c>
      <c r="G55" s="18"/>
    </row>
    <row r="56" spans="1:7" x14ac:dyDescent="0.4">
      <c r="A56" s="18">
        <v>45791</v>
      </c>
      <c r="B56" s="18" t="s">
        <v>67</v>
      </c>
      <c r="C56" s="27">
        <v>1441</v>
      </c>
      <c r="D56" t="s">
        <v>114</v>
      </c>
      <c r="E56" s="19" t="s">
        <v>309</v>
      </c>
      <c r="G56" s="18"/>
    </row>
    <row r="57" spans="1:7" x14ac:dyDescent="0.4">
      <c r="A57" s="18">
        <v>45791</v>
      </c>
      <c r="B57" s="18" t="s">
        <v>67</v>
      </c>
      <c r="C57" s="27">
        <v>490</v>
      </c>
      <c r="D57" t="s">
        <v>114</v>
      </c>
      <c r="E57" s="19" t="s">
        <v>340</v>
      </c>
      <c r="G57" s="18"/>
    </row>
    <row r="58" spans="1:7" x14ac:dyDescent="0.4">
      <c r="A58" s="18">
        <v>45792</v>
      </c>
      <c r="B58" s="18" t="s">
        <v>69</v>
      </c>
      <c r="C58" s="27">
        <v>669</v>
      </c>
      <c r="D58" t="s">
        <v>114</v>
      </c>
      <c r="E58" s="19" t="s">
        <v>309</v>
      </c>
      <c r="G58" s="18"/>
    </row>
    <row r="59" spans="1:7" x14ac:dyDescent="0.4">
      <c r="A59" s="18">
        <v>45792</v>
      </c>
      <c r="B59" s="18" t="s">
        <v>69</v>
      </c>
      <c r="C59" s="27">
        <v>680</v>
      </c>
      <c r="D59" t="s">
        <v>114</v>
      </c>
      <c r="E59" s="19" t="s">
        <v>368</v>
      </c>
      <c r="G59" s="18"/>
    </row>
    <row r="60" spans="1:7" x14ac:dyDescent="0.4">
      <c r="A60" s="18">
        <v>45792</v>
      </c>
      <c r="B60" s="18" t="s">
        <v>69</v>
      </c>
      <c r="C60" s="27">
        <v>522</v>
      </c>
      <c r="D60" t="s">
        <v>94</v>
      </c>
      <c r="E60" s="19" t="s">
        <v>378</v>
      </c>
      <c r="G60" s="18"/>
    </row>
    <row r="61" spans="1:7" x14ac:dyDescent="0.4">
      <c r="A61" s="18">
        <v>45792</v>
      </c>
      <c r="B61" s="18" t="s">
        <v>69</v>
      </c>
      <c r="C61" s="27">
        <v>1100</v>
      </c>
      <c r="D61" t="s">
        <v>58</v>
      </c>
      <c r="E61" s="19" t="s">
        <v>312</v>
      </c>
      <c r="G61" s="18"/>
    </row>
    <row r="62" spans="1:7" x14ac:dyDescent="0.4">
      <c r="A62" s="18">
        <v>45793</v>
      </c>
      <c r="B62" s="18" t="s">
        <v>71</v>
      </c>
      <c r="C62" s="27">
        <v>669</v>
      </c>
      <c r="D62" t="s">
        <v>114</v>
      </c>
      <c r="E62" s="19" t="s">
        <v>309</v>
      </c>
      <c r="G62" s="18"/>
    </row>
    <row r="63" spans="1:7" x14ac:dyDescent="0.4">
      <c r="A63" s="18">
        <v>45794</v>
      </c>
      <c r="B63" s="18" t="s">
        <v>72</v>
      </c>
      <c r="C63" s="27">
        <v>1650</v>
      </c>
      <c r="D63" t="s">
        <v>252</v>
      </c>
      <c r="E63" s="19" t="s">
        <v>312</v>
      </c>
      <c r="G63" s="18"/>
    </row>
    <row r="64" spans="1:7" x14ac:dyDescent="0.4">
      <c r="A64" s="18">
        <v>45794</v>
      </c>
      <c r="B64" s="18" t="s">
        <v>72</v>
      </c>
      <c r="C64" s="27">
        <v>1650</v>
      </c>
      <c r="D64" t="s">
        <v>114</v>
      </c>
      <c r="E64" s="19" t="s">
        <v>340</v>
      </c>
      <c r="G64" s="18"/>
    </row>
    <row r="65" spans="1:7" x14ac:dyDescent="0.4">
      <c r="A65" s="18">
        <v>45794</v>
      </c>
      <c r="B65" s="18" t="s">
        <v>72</v>
      </c>
      <c r="C65" s="27">
        <v>330</v>
      </c>
      <c r="D65" t="s">
        <v>252</v>
      </c>
      <c r="E65" s="19" t="s">
        <v>343</v>
      </c>
      <c r="G65" s="18"/>
    </row>
    <row r="66" spans="1:7" x14ac:dyDescent="0.4">
      <c r="A66" s="18">
        <v>45794</v>
      </c>
      <c r="B66" s="18" t="s">
        <v>72</v>
      </c>
      <c r="C66" s="27">
        <f>2645-330</f>
        <v>2315</v>
      </c>
      <c r="D66" t="s">
        <v>94</v>
      </c>
      <c r="E66" s="19" t="s">
        <v>343</v>
      </c>
      <c r="G66" s="18"/>
    </row>
    <row r="67" spans="1:7" x14ac:dyDescent="0.4">
      <c r="A67" s="18">
        <v>45795</v>
      </c>
      <c r="B67" s="18" t="s">
        <v>73</v>
      </c>
      <c r="C67" s="27">
        <v>2121</v>
      </c>
      <c r="D67" t="s">
        <v>114</v>
      </c>
      <c r="E67" s="19" t="s">
        <v>307</v>
      </c>
      <c r="G67" s="18"/>
    </row>
    <row r="68" spans="1:7" x14ac:dyDescent="0.4">
      <c r="A68" s="18">
        <v>45795</v>
      </c>
      <c r="B68" s="18" t="s">
        <v>73</v>
      </c>
      <c r="C68" s="27">
        <v>2200</v>
      </c>
      <c r="D68" t="s">
        <v>58</v>
      </c>
      <c r="E68" s="19" t="s">
        <v>312</v>
      </c>
      <c r="G68" s="18"/>
    </row>
    <row r="69" spans="1:7" x14ac:dyDescent="0.4">
      <c r="A69" s="18">
        <v>45797</v>
      </c>
      <c r="B69" s="18" t="s">
        <v>66</v>
      </c>
      <c r="C69" s="27">
        <v>1441</v>
      </c>
      <c r="D69" t="s">
        <v>114</v>
      </c>
      <c r="E69" s="19" t="s">
        <v>309</v>
      </c>
      <c r="G69" s="18"/>
    </row>
    <row r="70" spans="1:7" x14ac:dyDescent="0.4">
      <c r="A70" s="18">
        <v>45797</v>
      </c>
      <c r="B70" s="18" t="s">
        <v>66</v>
      </c>
      <c r="C70" s="27">
        <v>760</v>
      </c>
      <c r="D70" t="s">
        <v>114</v>
      </c>
      <c r="E70" s="19" t="s">
        <v>340</v>
      </c>
      <c r="G70" s="18"/>
    </row>
    <row r="71" spans="1:7" x14ac:dyDescent="0.4">
      <c r="A71" s="18">
        <v>45798</v>
      </c>
      <c r="B71" s="18" t="s">
        <v>67</v>
      </c>
      <c r="C71" s="27">
        <v>2512</v>
      </c>
      <c r="D71" t="s">
        <v>94</v>
      </c>
      <c r="E71" s="19" t="s">
        <v>379</v>
      </c>
      <c r="G71" s="18"/>
    </row>
    <row r="72" spans="1:7" x14ac:dyDescent="0.4">
      <c r="A72" s="18">
        <v>45798</v>
      </c>
      <c r="B72" s="18" t="s">
        <v>67</v>
      </c>
      <c r="C72" s="27">
        <v>2811</v>
      </c>
      <c r="D72" t="s">
        <v>114</v>
      </c>
      <c r="E72" s="19" t="s">
        <v>355</v>
      </c>
      <c r="G72" s="18"/>
    </row>
    <row r="73" spans="1:7" x14ac:dyDescent="0.4">
      <c r="A73" s="18">
        <v>45799</v>
      </c>
      <c r="B73" s="18" t="s">
        <v>69</v>
      </c>
      <c r="C73" s="27">
        <f>669+110</f>
        <v>779</v>
      </c>
      <c r="D73" t="s">
        <v>114</v>
      </c>
      <c r="E73" s="19" t="s">
        <v>309</v>
      </c>
      <c r="G73" s="18"/>
    </row>
    <row r="74" spans="1:7" x14ac:dyDescent="0.4">
      <c r="A74" s="18">
        <v>45799</v>
      </c>
      <c r="B74" s="18" t="s">
        <v>69</v>
      </c>
      <c r="C74" s="27">
        <v>570</v>
      </c>
      <c r="D74" t="s">
        <v>114</v>
      </c>
      <c r="E74" s="19" t="s">
        <v>368</v>
      </c>
      <c r="G74" s="18"/>
    </row>
    <row r="75" spans="1:7" x14ac:dyDescent="0.4">
      <c r="A75" s="18">
        <v>45799</v>
      </c>
      <c r="B75" s="18" t="s">
        <v>69</v>
      </c>
      <c r="C75" s="27">
        <v>812</v>
      </c>
      <c r="D75" t="s">
        <v>94</v>
      </c>
      <c r="E75" s="19" t="s">
        <v>379</v>
      </c>
      <c r="G75" s="18"/>
    </row>
    <row r="76" spans="1:7" x14ac:dyDescent="0.4">
      <c r="A76" s="18">
        <v>45799</v>
      </c>
      <c r="B76" s="18" t="s">
        <v>69</v>
      </c>
      <c r="C76" s="27">
        <v>4502</v>
      </c>
      <c r="D76" t="s">
        <v>114</v>
      </c>
      <c r="E76" s="19" t="s">
        <v>360</v>
      </c>
      <c r="G76" s="18"/>
    </row>
    <row r="77" spans="1:7" x14ac:dyDescent="0.4">
      <c r="A77" s="18">
        <v>45800</v>
      </c>
      <c r="B77" s="18" t="s">
        <v>71</v>
      </c>
      <c r="C77" s="27">
        <f>606+70</f>
        <v>676</v>
      </c>
      <c r="D77" t="s">
        <v>114</v>
      </c>
      <c r="E77" s="19" t="s">
        <v>309</v>
      </c>
      <c r="G77" s="18"/>
    </row>
    <row r="78" spans="1:7" x14ac:dyDescent="0.4">
      <c r="A78" s="18">
        <v>45800</v>
      </c>
      <c r="B78" s="18" t="s">
        <v>71</v>
      </c>
      <c r="C78" s="27">
        <v>8000</v>
      </c>
      <c r="D78" t="s">
        <v>29</v>
      </c>
      <c r="E78" s="19" t="s">
        <v>342</v>
      </c>
      <c r="G78" s="18"/>
    </row>
    <row r="79" spans="1:7" x14ac:dyDescent="0.4">
      <c r="A79" s="18">
        <v>45801</v>
      </c>
      <c r="B79" s="18" t="s">
        <v>72</v>
      </c>
      <c r="C79" s="27">
        <v>4200</v>
      </c>
      <c r="D79" t="s">
        <v>114</v>
      </c>
      <c r="E79" s="19" t="s">
        <v>322</v>
      </c>
      <c r="G79" s="18"/>
    </row>
    <row r="80" spans="1:7" x14ac:dyDescent="0.4">
      <c r="A80" s="18">
        <v>45802</v>
      </c>
      <c r="B80" s="18" t="s">
        <v>73</v>
      </c>
      <c r="C80" s="27">
        <v>1848</v>
      </c>
      <c r="D80" t="s">
        <v>114</v>
      </c>
      <c r="E80" s="19" t="s">
        <v>322</v>
      </c>
      <c r="G80" s="18"/>
    </row>
    <row r="81" spans="1:7" x14ac:dyDescent="0.4">
      <c r="A81" s="18">
        <v>45802</v>
      </c>
      <c r="B81" s="18" t="s">
        <v>73</v>
      </c>
      <c r="C81" s="27">
        <v>1677</v>
      </c>
      <c r="D81" t="s">
        <v>114</v>
      </c>
      <c r="E81" s="19" t="s">
        <v>307</v>
      </c>
      <c r="G81" s="18"/>
    </row>
    <row r="82" spans="1:7" x14ac:dyDescent="0.4">
      <c r="A82" s="18">
        <v>45802</v>
      </c>
      <c r="B82" s="18" t="s">
        <v>73</v>
      </c>
      <c r="C82" s="27">
        <v>2194</v>
      </c>
      <c r="D82" t="s">
        <v>29</v>
      </c>
      <c r="E82" s="19" t="s">
        <v>321</v>
      </c>
      <c r="G82" s="18"/>
    </row>
    <row r="83" spans="1:7" x14ac:dyDescent="0.4">
      <c r="A83" s="18">
        <v>45802</v>
      </c>
      <c r="B83" s="18" t="s">
        <v>73</v>
      </c>
      <c r="C83" s="27">
        <v>4276</v>
      </c>
      <c r="D83" t="s">
        <v>114</v>
      </c>
      <c r="E83" s="19" t="s">
        <v>380</v>
      </c>
      <c r="G83" s="18"/>
    </row>
    <row r="84" spans="1:7" x14ac:dyDescent="0.4">
      <c r="A84" s="18">
        <v>45804</v>
      </c>
      <c r="B84" s="18" t="s">
        <v>66</v>
      </c>
      <c r="C84" s="27">
        <v>1439</v>
      </c>
      <c r="D84" t="s">
        <v>114</v>
      </c>
      <c r="E84" s="19" t="s">
        <v>309</v>
      </c>
      <c r="G84" s="18"/>
    </row>
    <row r="85" spans="1:7" x14ac:dyDescent="0.4">
      <c r="A85" s="18">
        <v>45804</v>
      </c>
      <c r="B85" s="18" t="s">
        <v>66</v>
      </c>
      <c r="C85" s="27">
        <v>1584</v>
      </c>
      <c r="D85" t="s">
        <v>114</v>
      </c>
      <c r="E85" s="19" t="s">
        <v>380</v>
      </c>
      <c r="G85" s="18"/>
    </row>
    <row r="86" spans="1:7" x14ac:dyDescent="0.4">
      <c r="A86" s="18">
        <v>45805</v>
      </c>
      <c r="B86" s="18" t="s">
        <v>257</v>
      </c>
      <c r="C86" s="27">
        <v>6950</v>
      </c>
      <c r="D86" t="s">
        <v>252</v>
      </c>
      <c r="E86" s="19" t="s">
        <v>326</v>
      </c>
      <c r="G86" s="18"/>
    </row>
    <row r="87" spans="1:7" x14ac:dyDescent="0.4">
      <c r="A87" s="18">
        <v>45806</v>
      </c>
      <c r="B87" s="18" t="s">
        <v>69</v>
      </c>
      <c r="C87" s="27">
        <v>1439</v>
      </c>
      <c r="D87" t="s">
        <v>114</v>
      </c>
      <c r="E87" s="19" t="s">
        <v>309</v>
      </c>
      <c r="G87" s="18"/>
    </row>
    <row r="88" spans="1:7" x14ac:dyDescent="0.4">
      <c r="A88" s="18">
        <v>45808</v>
      </c>
      <c r="B88" s="18" t="s">
        <v>72</v>
      </c>
      <c r="C88" s="27">
        <v>790</v>
      </c>
      <c r="D88" t="s">
        <v>114</v>
      </c>
      <c r="E88" s="19" t="s">
        <v>356</v>
      </c>
      <c r="G88" s="18"/>
    </row>
    <row r="89" spans="1:7" x14ac:dyDescent="0.4">
      <c r="A89" s="18">
        <v>45808</v>
      </c>
      <c r="B89" s="18" t="s">
        <v>72</v>
      </c>
      <c r="C89" s="27">
        <v>2137</v>
      </c>
      <c r="D89" t="s">
        <v>20</v>
      </c>
      <c r="E89" s="19" t="s">
        <v>262</v>
      </c>
      <c r="G89" s="18"/>
    </row>
    <row r="90" spans="1:7" x14ac:dyDescent="0.4">
      <c r="A90" s="18">
        <v>45808</v>
      </c>
      <c r="B90" s="18" t="s">
        <v>72</v>
      </c>
      <c r="C90" s="27">
        <v>12368</v>
      </c>
      <c r="D90" t="s">
        <v>20</v>
      </c>
      <c r="E90" s="19" t="s">
        <v>263</v>
      </c>
      <c r="G90" s="18"/>
    </row>
    <row r="91" spans="1:7" x14ac:dyDescent="0.4">
      <c r="A91" s="18"/>
      <c r="B91" s="18"/>
      <c r="G91" s="18"/>
    </row>
    <row r="92" spans="1:7" x14ac:dyDescent="0.4">
      <c r="A92" s="18"/>
      <c r="B92" s="18"/>
      <c r="G92" s="18"/>
    </row>
    <row r="93" spans="1:7" x14ac:dyDescent="0.4">
      <c r="A93" s="18"/>
      <c r="B93" s="18"/>
      <c r="G93" s="18"/>
    </row>
    <row r="94" spans="1:7" x14ac:dyDescent="0.4">
      <c r="A94" s="18"/>
      <c r="B94" s="18"/>
      <c r="G94" s="18"/>
    </row>
    <row r="95" spans="1:7" x14ac:dyDescent="0.4">
      <c r="A95" s="18"/>
      <c r="B95" s="18"/>
      <c r="G95" s="18"/>
    </row>
    <row r="96" spans="1:7" x14ac:dyDescent="0.4">
      <c r="A96" s="18"/>
      <c r="B96" s="18"/>
      <c r="G96" s="18"/>
    </row>
    <row r="97" spans="1:7" x14ac:dyDescent="0.4">
      <c r="A97" s="18"/>
      <c r="B97" s="18"/>
      <c r="G97" s="18"/>
    </row>
    <row r="98" spans="1:7" x14ac:dyDescent="0.4">
      <c r="A98" s="18"/>
      <c r="B98" s="18"/>
      <c r="G98" s="18"/>
    </row>
    <row r="99" spans="1:7" x14ac:dyDescent="0.4">
      <c r="A99" s="18"/>
      <c r="B99" s="18"/>
      <c r="G99" s="18"/>
    </row>
    <row r="100" spans="1:7" x14ac:dyDescent="0.4">
      <c r="A100" s="18"/>
      <c r="B100" s="18"/>
      <c r="G100" s="18"/>
    </row>
    <row r="101" spans="1:7" x14ac:dyDescent="0.4">
      <c r="A101" s="18"/>
      <c r="B101" s="18"/>
      <c r="G101" s="18"/>
    </row>
    <row r="102" spans="1:7" x14ac:dyDescent="0.4">
      <c r="A102" s="18"/>
      <c r="B102" s="18"/>
    </row>
    <row r="103" spans="1:7" x14ac:dyDescent="0.4">
      <c r="A103" s="18"/>
      <c r="B103" s="18"/>
    </row>
  </sheetData>
  <autoFilter ref="A2:E99" xr:uid="{F0C17D8F-F817-49ED-A94A-385A4D9ADA5E}"/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33EA2-7185-409A-8229-F7A2540E705F}">
  <sheetPr codeName="Sheet4"/>
  <dimension ref="A1:H80"/>
  <sheetViews>
    <sheetView workbookViewId="0">
      <pane ySplit="2" topLeftCell="A3" activePane="bottomLeft" state="frozen"/>
      <selection activeCell="E30" sqref="E30"/>
      <selection pane="bottomLeft" activeCell="E64" sqref="E64"/>
    </sheetView>
  </sheetViews>
  <sheetFormatPr defaultRowHeight="18.75" x14ac:dyDescent="0.4"/>
  <cols>
    <col min="2" max="2" width="4.875" bestFit="1" customWidth="1"/>
    <col min="3" max="3" width="9" style="27"/>
    <col min="4" max="4" width="18.25" bestFit="1" customWidth="1"/>
    <col min="5" max="5" width="35.875" style="19" bestFit="1" customWidth="1"/>
    <col min="8" max="8" width="9" style="27"/>
  </cols>
  <sheetData>
    <row r="1" spans="1:8" x14ac:dyDescent="0.4">
      <c r="C1" s="27">
        <f>SUM(C3:C161)</f>
        <v>386629</v>
      </c>
      <c r="H1" s="27">
        <f>SUM(H3:H163)</f>
        <v>386629</v>
      </c>
    </row>
    <row r="2" spans="1:8" x14ac:dyDescent="0.4">
      <c r="A2" s="20" t="s">
        <v>50</v>
      </c>
      <c r="B2" s="20" t="s">
        <v>55</v>
      </c>
      <c r="C2" s="28" t="s">
        <v>52</v>
      </c>
      <c r="D2" s="20" t="s">
        <v>51</v>
      </c>
      <c r="E2" s="21" t="s">
        <v>53</v>
      </c>
      <c r="G2" s="20" t="s">
        <v>50</v>
      </c>
      <c r="H2" s="28" t="s">
        <v>52</v>
      </c>
    </row>
    <row r="3" spans="1:8" x14ac:dyDescent="0.4">
      <c r="A3" s="18">
        <v>45809</v>
      </c>
      <c r="B3" s="18" t="s">
        <v>193</v>
      </c>
      <c r="C3" s="27">
        <v>100000</v>
      </c>
      <c r="D3" t="s">
        <v>97</v>
      </c>
      <c r="E3" s="19" t="s">
        <v>90</v>
      </c>
      <c r="G3" s="18">
        <v>45809</v>
      </c>
      <c r="H3" s="27">
        <f t="shared" ref="H3:H32" si="0">SUMIF($A$3:$A$209,$G3,$C$3:$C$209)</f>
        <v>268220</v>
      </c>
    </row>
    <row r="4" spans="1:8" x14ac:dyDescent="0.4">
      <c r="A4" s="18">
        <v>45809</v>
      </c>
      <c r="B4" s="18" t="s">
        <v>193</v>
      </c>
      <c r="C4" s="27">
        <v>150000</v>
      </c>
      <c r="D4" t="s">
        <v>42</v>
      </c>
      <c r="E4" t="s">
        <v>42</v>
      </c>
      <c r="G4" s="18">
        <v>45810</v>
      </c>
      <c r="H4" s="27">
        <f t="shared" si="0"/>
        <v>2764</v>
      </c>
    </row>
    <row r="5" spans="1:8" x14ac:dyDescent="0.4">
      <c r="A5" s="18">
        <v>45809</v>
      </c>
      <c r="B5" s="18" t="s">
        <v>73</v>
      </c>
      <c r="C5" s="27">
        <f>4277</f>
        <v>4277</v>
      </c>
      <c r="D5" t="s">
        <v>58</v>
      </c>
      <c r="E5" s="19" t="s">
        <v>299</v>
      </c>
      <c r="G5" s="18">
        <v>45811</v>
      </c>
      <c r="H5" s="27">
        <f t="shared" si="0"/>
        <v>0</v>
      </c>
    </row>
    <row r="6" spans="1:8" x14ac:dyDescent="0.4">
      <c r="A6" s="18">
        <v>45809</v>
      </c>
      <c r="B6" s="18" t="s">
        <v>73</v>
      </c>
      <c r="C6" s="27">
        <v>3110</v>
      </c>
      <c r="D6" t="s">
        <v>25</v>
      </c>
      <c r="E6" s="19" t="s">
        <v>302</v>
      </c>
      <c r="G6" s="18">
        <v>45812</v>
      </c>
      <c r="H6" s="27">
        <f t="shared" si="0"/>
        <v>2239</v>
      </c>
    </row>
    <row r="7" spans="1:8" x14ac:dyDescent="0.4">
      <c r="A7" s="18">
        <v>45809</v>
      </c>
      <c r="B7" s="18" t="s">
        <v>73</v>
      </c>
      <c r="C7" s="27">
        <v>3610</v>
      </c>
      <c r="D7" t="s">
        <v>25</v>
      </c>
      <c r="E7" s="19" t="s">
        <v>297</v>
      </c>
      <c r="G7" s="18">
        <v>45813</v>
      </c>
      <c r="H7" s="27">
        <f t="shared" si="0"/>
        <v>13758</v>
      </c>
    </row>
    <row r="8" spans="1:8" x14ac:dyDescent="0.4">
      <c r="A8" s="18">
        <v>45809</v>
      </c>
      <c r="B8" s="18" t="s">
        <v>73</v>
      </c>
      <c r="C8" s="27">
        <v>360</v>
      </c>
      <c r="D8" t="s">
        <v>25</v>
      </c>
      <c r="E8" s="19" t="s">
        <v>298</v>
      </c>
      <c r="G8" s="18">
        <v>45814</v>
      </c>
      <c r="H8" s="27">
        <f t="shared" si="0"/>
        <v>2785</v>
      </c>
    </row>
    <row r="9" spans="1:8" x14ac:dyDescent="0.4">
      <c r="A9" s="18">
        <v>45809</v>
      </c>
      <c r="B9" s="18" t="s">
        <v>73</v>
      </c>
      <c r="C9" s="27">
        <f>1800+3470</f>
        <v>5270</v>
      </c>
      <c r="D9" t="s">
        <v>25</v>
      </c>
      <c r="E9" s="19" t="s">
        <v>301</v>
      </c>
      <c r="G9" s="18">
        <v>45815</v>
      </c>
      <c r="H9" s="27">
        <f t="shared" si="0"/>
        <v>6297</v>
      </c>
    </row>
    <row r="10" spans="1:8" x14ac:dyDescent="0.4">
      <c r="A10" s="18">
        <v>45809</v>
      </c>
      <c r="B10" s="18" t="s">
        <v>73</v>
      </c>
      <c r="C10" s="27">
        <v>1593</v>
      </c>
      <c r="D10" t="s">
        <v>168</v>
      </c>
      <c r="E10" s="19" t="s">
        <v>307</v>
      </c>
      <c r="G10" s="18">
        <v>45816</v>
      </c>
      <c r="H10" s="27">
        <f t="shared" si="0"/>
        <v>5850</v>
      </c>
    </row>
    <row r="11" spans="1:8" x14ac:dyDescent="0.4">
      <c r="A11" s="18">
        <v>45810</v>
      </c>
      <c r="B11" s="18" t="s">
        <v>56</v>
      </c>
      <c r="C11" s="27">
        <v>1325</v>
      </c>
      <c r="D11" t="s">
        <v>29</v>
      </c>
      <c r="E11" s="19" t="s">
        <v>321</v>
      </c>
      <c r="G11" s="18">
        <v>45817</v>
      </c>
      <c r="H11" s="27">
        <f t="shared" si="0"/>
        <v>0</v>
      </c>
    </row>
    <row r="12" spans="1:8" x14ac:dyDescent="0.4">
      <c r="A12" s="18">
        <v>45810</v>
      </c>
      <c r="B12" s="18" t="s">
        <v>56</v>
      </c>
      <c r="C12" s="27">
        <v>1439</v>
      </c>
      <c r="D12" t="s">
        <v>114</v>
      </c>
      <c r="E12" s="19" t="s">
        <v>309</v>
      </c>
      <c r="G12" s="18">
        <v>45818</v>
      </c>
      <c r="H12" s="27">
        <f t="shared" si="0"/>
        <v>1559</v>
      </c>
    </row>
    <row r="13" spans="1:8" x14ac:dyDescent="0.4">
      <c r="A13" s="18">
        <v>45812</v>
      </c>
      <c r="B13" s="18" t="s">
        <v>67</v>
      </c>
      <c r="C13" s="27">
        <f>1439+120</f>
        <v>1559</v>
      </c>
      <c r="D13" t="s">
        <v>114</v>
      </c>
      <c r="E13" s="19" t="s">
        <v>309</v>
      </c>
      <c r="G13" s="18">
        <v>45819</v>
      </c>
      <c r="H13" s="27">
        <f t="shared" si="0"/>
        <v>0</v>
      </c>
    </row>
    <row r="14" spans="1:8" x14ac:dyDescent="0.4">
      <c r="A14" s="18">
        <v>45812</v>
      </c>
      <c r="B14" s="18" t="s">
        <v>67</v>
      </c>
      <c r="C14" s="27">
        <v>680</v>
      </c>
      <c r="D14" t="s">
        <v>114</v>
      </c>
      <c r="E14" s="19" t="s">
        <v>368</v>
      </c>
      <c r="G14" s="18">
        <v>45820</v>
      </c>
      <c r="H14" s="27">
        <f t="shared" si="0"/>
        <v>2519</v>
      </c>
    </row>
    <row r="15" spans="1:8" x14ac:dyDescent="0.4">
      <c r="A15" s="18">
        <v>45813</v>
      </c>
      <c r="B15" s="18" t="s">
        <v>69</v>
      </c>
      <c r="C15" s="27">
        <v>980</v>
      </c>
      <c r="D15" t="s">
        <v>58</v>
      </c>
      <c r="E15" s="19" t="s">
        <v>143</v>
      </c>
      <c r="G15" s="18">
        <v>45821</v>
      </c>
      <c r="H15" s="27">
        <f t="shared" si="0"/>
        <v>5701</v>
      </c>
    </row>
    <row r="16" spans="1:8" x14ac:dyDescent="0.4">
      <c r="A16" s="18">
        <v>45813</v>
      </c>
      <c r="B16" s="18" t="s">
        <v>69</v>
      </c>
      <c r="C16" s="27">
        <f>689+160</f>
        <v>849</v>
      </c>
      <c r="D16" t="s">
        <v>114</v>
      </c>
      <c r="E16" s="19" t="s">
        <v>309</v>
      </c>
      <c r="G16" s="18">
        <v>45822</v>
      </c>
      <c r="H16" s="27">
        <f t="shared" si="0"/>
        <v>0</v>
      </c>
    </row>
    <row r="17" spans="1:8" x14ac:dyDescent="0.4">
      <c r="A17" s="18">
        <v>45813</v>
      </c>
      <c r="B17" s="18" t="s">
        <v>69</v>
      </c>
      <c r="C17" s="27">
        <v>318</v>
      </c>
      <c r="D17" t="s">
        <v>48</v>
      </c>
      <c r="E17" s="19" t="s">
        <v>304</v>
      </c>
      <c r="G17" s="18">
        <v>45823</v>
      </c>
      <c r="H17" s="27">
        <f t="shared" si="0"/>
        <v>2341</v>
      </c>
    </row>
    <row r="18" spans="1:8" x14ac:dyDescent="0.4">
      <c r="A18" s="18">
        <v>45813</v>
      </c>
      <c r="B18" s="18" t="s">
        <v>69</v>
      </c>
      <c r="C18" s="27">
        <v>420</v>
      </c>
      <c r="D18" t="s">
        <v>48</v>
      </c>
      <c r="E18" s="19" t="s">
        <v>304</v>
      </c>
      <c r="G18" s="18">
        <v>45824</v>
      </c>
      <c r="H18" s="27">
        <f t="shared" si="0"/>
        <v>1191</v>
      </c>
    </row>
    <row r="19" spans="1:8" x14ac:dyDescent="0.4">
      <c r="A19" s="18">
        <v>45813</v>
      </c>
      <c r="B19" s="18" t="s">
        <v>69</v>
      </c>
      <c r="C19" s="27">
        <v>1650</v>
      </c>
      <c r="D19" t="s">
        <v>114</v>
      </c>
      <c r="E19" s="19" t="s">
        <v>322</v>
      </c>
      <c r="G19" s="18">
        <v>45825</v>
      </c>
      <c r="H19" s="27">
        <f t="shared" si="0"/>
        <v>649</v>
      </c>
    </row>
    <row r="20" spans="1:8" x14ac:dyDescent="0.4">
      <c r="A20" s="18">
        <v>45813</v>
      </c>
      <c r="B20" s="18" t="s">
        <v>69</v>
      </c>
      <c r="C20" s="27">
        <v>2970</v>
      </c>
      <c r="D20" t="s">
        <v>29</v>
      </c>
      <c r="E20" s="19" t="s">
        <v>321</v>
      </c>
      <c r="G20" s="18">
        <v>45826</v>
      </c>
      <c r="H20" s="27">
        <f t="shared" si="0"/>
        <v>1500</v>
      </c>
    </row>
    <row r="21" spans="1:8" x14ac:dyDescent="0.4">
      <c r="A21" s="18">
        <v>45813</v>
      </c>
      <c r="B21" s="18" t="s">
        <v>69</v>
      </c>
      <c r="C21" s="27">
        <v>6571</v>
      </c>
      <c r="D21" t="s">
        <v>172</v>
      </c>
      <c r="E21" s="19" t="s">
        <v>347</v>
      </c>
      <c r="G21" s="18">
        <v>45827</v>
      </c>
      <c r="H21" s="27">
        <f t="shared" si="0"/>
        <v>1439</v>
      </c>
    </row>
    <row r="22" spans="1:8" x14ac:dyDescent="0.4">
      <c r="A22" s="18">
        <v>45814</v>
      </c>
      <c r="B22" s="18" t="s">
        <v>71</v>
      </c>
      <c r="C22" s="27">
        <f>1439+120</f>
        <v>1559</v>
      </c>
      <c r="D22" t="s">
        <v>114</v>
      </c>
      <c r="E22" s="19" t="s">
        <v>309</v>
      </c>
      <c r="G22" s="18">
        <v>45828</v>
      </c>
      <c r="H22" s="27">
        <f t="shared" si="0"/>
        <v>1317</v>
      </c>
    </row>
    <row r="23" spans="1:8" x14ac:dyDescent="0.4">
      <c r="A23" s="18">
        <v>45814</v>
      </c>
      <c r="B23" s="18" t="s">
        <v>71</v>
      </c>
      <c r="C23" s="27">
        <v>1226</v>
      </c>
      <c r="D23" t="s">
        <v>114</v>
      </c>
      <c r="E23" s="19" t="s">
        <v>307</v>
      </c>
      <c r="G23" s="18">
        <v>45829</v>
      </c>
      <c r="H23" s="27">
        <f t="shared" si="0"/>
        <v>8756</v>
      </c>
    </row>
    <row r="24" spans="1:8" x14ac:dyDescent="0.4">
      <c r="A24" s="18">
        <v>45815</v>
      </c>
      <c r="B24" s="18" t="s">
        <v>72</v>
      </c>
      <c r="C24" s="27">
        <v>3620</v>
      </c>
      <c r="D24" t="s">
        <v>114</v>
      </c>
      <c r="E24" s="19" t="s">
        <v>322</v>
      </c>
      <c r="G24" s="18">
        <v>45830</v>
      </c>
      <c r="H24" s="27">
        <f t="shared" si="0"/>
        <v>1739</v>
      </c>
    </row>
    <row r="25" spans="1:8" x14ac:dyDescent="0.4">
      <c r="A25" s="18">
        <v>45815</v>
      </c>
      <c r="B25" s="18" t="s">
        <v>72</v>
      </c>
      <c r="C25" s="27">
        <f>3010-333-880</f>
        <v>1797</v>
      </c>
      <c r="D25" t="s">
        <v>114</v>
      </c>
      <c r="E25" s="19" t="s">
        <v>343</v>
      </c>
      <c r="G25" s="18">
        <v>45831</v>
      </c>
      <c r="H25" s="27">
        <f t="shared" si="0"/>
        <v>0</v>
      </c>
    </row>
    <row r="26" spans="1:8" x14ac:dyDescent="0.4">
      <c r="A26" s="18">
        <v>45815</v>
      </c>
      <c r="B26" s="18" t="s">
        <v>72</v>
      </c>
      <c r="C26" s="27">
        <v>770</v>
      </c>
      <c r="D26" t="s">
        <v>57</v>
      </c>
      <c r="E26" s="19" t="s">
        <v>343</v>
      </c>
      <c r="G26" s="18">
        <v>45832</v>
      </c>
      <c r="H26" s="27">
        <f t="shared" si="0"/>
        <v>1671</v>
      </c>
    </row>
    <row r="27" spans="1:8" x14ac:dyDescent="0.4">
      <c r="A27" s="18">
        <v>45815</v>
      </c>
      <c r="B27" s="18" t="s">
        <v>72</v>
      </c>
      <c r="C27" s="27">
        <v>110</v>
      </c>
      <c r="D27" t="s">
        <v>252</v>
      </c>
      <c r="E27" s="19" t="s">
        <v>343</v>
      </c>
      <c r="G27" s="18">
        <v>45833</v>
      </c>
      <c r="H27" s="27">
        <f t="shared" si="0"/>
        <v>0</v>
      </c>
    </row>
    <row r="28" spans="1:8" x14ac:dyDescent="0.4">
      <c r="A28" s="18">
        <v>45816</v>
      </c>
      <c r="B28" s="18" t="s">
        <v>73</v>
      </c>
      <c r="C28" s="27">
        <v>260</v>
      </c>
      <c r="D28" t="s">
        <v>114</v>
      </c>
      <c r="E28" s="19" t="s">
        <v>264</v>
      </c>
      <c r="G28" s="18">
        <v>45834</v>
      </c>
      <c r="H28" s="27">
        <f t="shared" si="0"/>
        <v>1531</v>
      </c>
    </row>
    <row r="29" spans="1:8" x14ac:dyDescent="0.4">
      <c r="A29" s="18">
        <v>45816</v>
      </c>
      <c r="B29" s="18" t="s">
        <v>73</v>
      </c>
      <c r="C29" s="27">
        <v>1980</v>
      </c>
      <c r="D29" t="s">
        <v>58</v>
      </c>
      <c r="E29" s="19" t="s">
        <v>312</v>
      </c>
      <c r="G29" s="18">
        <v>45835</v>
      </c>
      <c r="H29" s="27">
        <f t="shared" si="0"/>
        <v>0</v>
      </c>
    </row>
    <row r="30" spans="1:8" x14ac:dyDescent="0.4">
      <c r="A30" s="18">
        <v>45816</v>
      </c>
      <c r="B30" s="18" t="s">
        <v>73</v>
      </c>
      <c r="C30" s="27">
        <v>1300</v>
      </c>
      <c r="D30" t="s">
        <v>265</v>
      </c>
      <c r="E30" s="19" t="s">
        <v>359</v>
      </c>
      <c r="G30" s="18">
        <v>45836</v>
      </c>
      <c r="H30" s="27">
        <f t="shared" si="0"/>
        <v>18111</v>
      </c>
    </row>
    <row r="31" spans="1:8" x14ac:dyDescent="0.4">
      <c r="A31" s="18">
        <v>45816</v>
      </c>
      <c r="B31" s="18" t="s">
        <v>73</v>
      </c>
      <c r="C31" s="27">
        <v>2310</v>
      </c>
      <c r="D31" t="s">
        <v>252</v>
      </c>
      <c r="E31" s="19" t="s">
        <v>312</v>
      </c>
      <c r="G31" s="18">
        <v>45837</v>
      </c>
      <c r="H31" s="27">
        <f t="shared" si="0"/>
        <v>1555</v>
      </c>
    </row>
    <row r="32" spans="1:8" x14ac:dyDescent="0.4">
      <c r="A32" s="18">
        <v>45818</v>
      </c>
      <c r="B32" s="18" t="s">
        <v>66</v>
      </c>
      <c r="C32" s="27">
        <f>1439+120</f>
        <v>1559</v>
      </c>
      <c r="D32" t="s">
        <v>114</v>
      </c>
      <c r="E32" s="19" t="s">
        <v>309</v>
      </c>
      <c r="G32" s="18">
        <v>45838</v>
      </c>
      <c r="H32" s="27">
        <f t="shared" si="0"/>
        <v>33137</v>
      </c>
    </row>
    <row r="33" spans="1:7" x14ac:dyDescent="0.4">
      <c r="A33" s="18">
        <v>45820</v>
      </c>
      <c r="B33" s="18" t="s">
        <v>69</v>
      </c>
      <c r="C33" s="27">
        <f>1399+120</f>
        <v>1519</v>
      </c>
      <c r="D33" t="s">
        <v>114</v>
      </c>
      <c r="E33" s="19" t="s">
        <v>309</v>
      </c>
      <c r="G33" s="18"/>
    </row>
    <row r="34" spans="1:7" x14ac:dyDescent="0.4">
      <c r="A34" s="18">
        <v>45820</v>
      </c>
      <c r="B34" s="18" t="s">
        <v>69</v>
      </c>
      <c r="C34" s="27">
        <v>1000</v>
      </c>
      <c r="D34" t="s">
        <v>114</v>
      </c>
      <c r="E34" s="19" t="s">
        <v>320</v>
      </c>
      <c r="G34" s="18"/>
    </row>
    <row r="35" spans="1:7" x14ac:dyDescent="0.4">
      <c r="A35" s="18">
        <v>45821</v>
      </c>
      <c r="B35" s="18" t="s">
        <v>71</v>
      </c>
      <c r="C35" s="27">
        <v>3281</v>
      </c>
      <c r="D35" t="s">
        <v>21</v>
      </c>
      <c r="E35" s="19" t="s">
        <v>349</v>
      </c>
      <c r="G35" s="18"/>
    </row>
    <row r="36" spans="1:7" x14ac:dyDescent="0.4">
      <c r="A36" s="18">
        <v>45821</v>
      </c>
      <c r="B36" s="18" t="s">
        <v>71</v>
      </c>
      <c r="C36" s="27">
        <v>2420</v>
      </c>
      <c r="D36" t="s">
        <v>58</v>
      </c>
      <c r="E36" s="19" t="s">
        <v>312</v>
      </c>
      <c r="G36" s="18"/>
    </row>
    <row r="37" spans="1:7" x14ac:dyDescent="0.4">
      <c r="A37" s="18">
        <v>45823</v>
      </c>
      <c r="B37" s="18" t="s">
        <v>73</v>
      </c>
      <c r="C37" s="27">
        <v>770</v>
      </c>
      <c r="D37" t="s">
        <v>252</v>
      </c>
      <c r="E37" s="19" t="s">
        <v>312</v>
      </c>
      <c r="G37" s="18"/>
    </row>
    <row r="38" spans="1:7" x14ac:dyDescent="0.4">
      <c r="A38" s="18">
        <v>45823</v>
      </c>
      <c r="B38" s="18" t="s">
        <v>73</v>
      </c>
      <c r="C38" s="27">
        <v>1571</v>
      </c>
      <c r="D38" t="s">
        <v>114</v>
      </c>
      <c r="E38" s="19" t="s">
        <v>307</v>
      </c>
      <c r="G38" s="18"/>
    </row>
    <row r="39" spans="1:7" x14ac:dyDescent="0.4">
      <c r="A39" s="18">
        <v>45824</v>
      </c>
      <c r="B39" s="18" t="s">
        <v>56</v>
      </c>
      <c r="C39" s="27">
        <v>471</v>
      </c>
      <c r="D39" t="s">
        <v>114</v>
      </c>
      <c r="E39" s="19" t="s">
        <v>309</v>
      </c>
    </row>
    <row r="40" spans="1:7" x14ac:dyDescent="0.4">
      <c r="A40" s="18">
        <v>45824</v>
      </c>
      <c r="B40" s="18" t="s">
        <v>56</v>
      </c>
      <c r="C40" s="27">
        <v>720</v>
      </c>
      <c r="D40" t="s">
        <v>114</v>
      </c>
      <c r="E40" s="19" t="s">
        <v>340</v>
      </c>
    </row>
    <row r="41" spans="1:7" x14ac:dyDescent="0.4">
      <c r="A41" s="18">
        <v>45825</v>
      </c>
      <c r="B41" s="18" t="s">
        <v>66</v>
      </c>
      <c r="C41" s="27">
        <v>649</v>
      </c>
      <c r="D41" t="s">
        <v>114</v>
      </c>
      <c r="E41" s="19" t="s">
        <v>309</v>
      </c>
    </row>
    <row r="42" spans="1:7" x14ac:dyDescent="0.4">
      <c r="A42" s="18">
        <v>45826</v>
      </c>
      <c r="B42" s="18" t="s">
        <v>67</v>
      </c>
      <c r="C42" s="27">
        <f>2600-1100</f>
        <v>1500</v>
      </c>
      <c r="D42" t="s">
        <v>252</v>
      </c>
      <c r="E42" s="19" t="s">
        <v>381</v>
      </c>
    </row>
    <row r="43" spans="1:7" x14ac:dyDescent="0.4">
      <c r="A43" s="18">
        <v>45827</v>
      </c>
      <c r="B43" s="18" t="s">
        <v>69</v>
      </c>
      <c r="C43" s="27">
        <v>1439</v>
      </c>
      <c r="D43" t="s">
        <v>114</v>
      </c>
      <c r="E43" s="19" t="s">
        <v>309</v>
      </c>
    </row>
    <row r="44" spans="1:7" x14ac:dyDescent="0.4">
      <c r="A44" s="18">
        <v>45828</v>
      </c>
      <c r="B44" s="18" t="s">
        <v>71</v>
      </c>
      <c r="C44" s="27">
        <f>987+70+260</f>
        <v>1317</v>
      </c>
      <c r="D44" t="s">
        <v>114</v>
      </c>
      <c r="E44" s="19" t="s">
        <v>358</v>
      </c>
    </row>
    <row r="45" spans="1:7" x14ac:dyDescent="0.4">
      <c r="A45" s="18">
        <v>45829</v>
      </c>
      <c r="B45" s="18" t="s">
        <v>72</v>
      </c>
      <c r="C45" s="27">
        <v>100</v>
      </c>
      <c r="D45" t="s">
        <v>48</v>
      </c>
      <c r="E45" s="19" t="s">
        <v>270</v>
      </c>
    </row>
    <row r="46" spans="1:7" x14ac:dyDescent="0.4">
      <c r="A46" s="18">
        <v>45829</v>
      </c>
      <c r="B46" s="18" t="s">
        <v>72</v>
      </c>
      <c r="C46" s="27">
        <f>178*2</f>
        <v>356</v>
      </c>
      <c r="D46" t="s">
        <v>48</v>
      </c>
      <c r="E46" s="19" t="s">
        <v>306</v>
      </c>
    </row>
    <row r="47" spans="1:7" x14ac:dyDescent="0.4">
      <c r="A47" s="18">
        <v>45829</v>
      </c>
      <c r="B47" s="18" t="s">
        <v>72</v>
      </c>
      <c r="C47" s="27">
        <v>140</v>
      </c>
      <c r="D47" t="s">
        <v>114</v>
      </c>
      <c r="E47" s="19" t="s">
        <v>186</v>
      </c>
    </row>
    <row r="48" spans="1:7" x14ac:dyDescent="0.4">
      <c r="A48" s="18">
        <v>45829</v>
      </c>
      <c r="B48" s="18" t="s">
        <v>72</v>
      </c>
      <c r="C48" s="27">
        <v>1300</v>
      </c>
      <c r="D48" t="s">
        <v>252</v>
      </c>
      <c r="E48" s="19" t="s">
        <v>382</v>
      </c>
    </row>
    <row r="49" spans="1:7" x14ac:dyDescent="0.4">
      <c r="A49" s="18">
        <v>45829</v>
      </c>
      <c r="B49" s="18" t="s">
        <v>72</v>
      </c>
      <c r="C49" s="27">
        <v>3410</v>
      </c>
      <c r="D49" t="s">
        <v>114</v>
      </c>
      <c r="E49" s="19" t="s">
        <v>340</v>
      </c>
    </row>
    <row r="50" spans="1:7" x14ac:dyDescent="0.4">
      <c r="A50" s="18">
        <v>45829</v>
      </c>
      <c r="B50" s="18" t="s">
        <v>72</v>
      </c>
      <c r="C50" s="27">
        <v>2530</v>
      </c>
      <c r="D50" t="s">
        <v>252</v>
      </c>
      <c r="E50" s="19" t="s">
        <v>312</v>
      </c>
    </row>
    <row r="51" spans="1:7" x14ac:dyDescent="0.4">
      <c r="A51" s="18">
        <v>45829</v>
      </c>
      <c r="B51" s="18" t="s">
        <v>72</v>
      </c>
      <c r="C51" s="27">
        <v>920</v>
      </c>
      <c r="D51" t="s">
        <v>58</v>
      </c>
      <c r="E51" s="19" t="s">
        <v>312</v>
      </c>
    </row>
    <row r="52" spans="1:7" x14ac:dyDescent="0.4">
      <c r="A52" s="18">
        <v>45830</v>
      </c>
      <c r="B52" s="18" t="s">
        <v>73</v>
      </c>
      <c r="C52" s="17">
        <v>1739</v>
      </c>
      <c r="D52" t="s">
        <v>114</v>
      </c>
      <c r="E52" s="19" t="s">
        <v>307</v>
      </c>
    </row>
    <row r="53" spans="1:7" x14ac:dyDescent="0.4">
      <c r="A53" s="18">
        <v>45832</v>
      </c>
      <c r="B53" s="18" t="s">
        <v>66</v>
      </c>
      <c r="C53" s="27">
        <f>1471+200</f>
        <v>1671</v>
      </c>
      <c r="D53" t="s">
        <v>114</v>
      </c>
      <c r="E53" s="19" t="s">
        <v>309</v>
      </c>
    </row>
    <row r="54" spans="1:7" x14ac:dyDescent="0.4">
      <c r="A54" s="18">
        <v>45834</v>
      </c>
      <c r="B54" s="18" t="s">
        <v>271</v>
      </c>
      <c r="C54" s="27">
        <f>1431+100</f>
        <v>1531</v>
      </c>
      <c r="D54" t="s">
        <v>114</v>
      </c>
      <c r="E54" s="19" t="s">
        <v>309</v>
      </c>
      <c r="G54" s="18"/>
    </row>
    <row r="55" spans="1:7" x14ac:dyDescent="0.4">
      <c r="A55" s="18">
        <v>45836</v>
      </c>
      <c r="B55" s="18" t="s">
        <v>272</v>
      </c>
      <c r="C55" s="27">
        <v>100</v>
      </c>
      <c r="D55" t="s">
        <v>48</v>
      </c>
      <c r="E55" s="19" t="s">
        <v>185</v>
      </c>
      <c r="G55" s="18"/>
    </row>
    <row r="56" spans="1:7" x14ac:dyDescent="0.4">
      <c r="A56" s="18">
        <v>45836</v>
      </c>
      <c r="B56" s="18" t="s">
        <v>272</v>
      </c>
      <c r="C56" s="27">
        <v>659</v>
      </c>
      <c r="D56" t="s">
        <v>48</v>
      </c>
      <c r="E56" s="19" t="s">
        <v>304</v>
      </c>
    </row>
    <row r="57" spans="1:7" x14ac:dyDescent="0.4">
      <c r="A57" s="18">
        <v>45836</v>
      </c>
      <c r="B57" s="18" t="s">
        <v>272</v>
      </c>
      <c r="C57" s="27">
        <v>15576</v>
      </c>
      <c r="D57" t="s">
        <v>114</v>
      </c>
      <c r="E57" s="19" t="s">
        <v>310</v>
      </c>
      <c r="G57" s="18"/>
    </row>
    <row r="58" spans="1:7" x14ac:dyDescent="0.4">
      <c r="A58" s="18">
        <v>45836</v>
      </c>
      <c r="B58" s="18" t="s">
        <v>272</v>
      </c>
      <c r="C58" s="27">
        <v>1221</v>
      </c>
      <c r="D58" t="s">
        <v>114</v>
      </c>
      <c r="E58" s="19" t="s">
        <v>341</v>
      </c>
      <c r="G58" s="18"/>
    </row>
    <row r="59" spans="1:7" x14ac:dyDescent="0.4">
      <c r="A59" s="18">
        <v>45836</v>
      </c>
      <c r="B59" s="18" t="s">
        <v>272</v>
      </c>
      <c r="C59" s="27">
        <v>555</v>
      </c>
      <c r="D59" t="s">
        <v>48</v>
      </c>
      <c r="E59" s="19" t="s">
        <v>304</v>
      </c>
      <c r="G59" s="18"/>
    </row>
    <row r="60" spans="1:7" x14ac:dyDescent="0.4">
      <c r="A60" s="18">
        <v>45837</v>
      </c>
      <c r="B60" s="18" t="s">
        <v>73</v>
      </c>
      <c r="C60" s="27">
        <v>1555</v>
      </c>
      <c r="D60" t="s">
        <v>114</v>
      </c>
      <c r="E60" s="19" t="s">
        <v>307</v>
      </c>
      <c r="G60" s="18"/>
    </row>
    <row r="61" spans="1:7" x14ac:dyDescent="0.4">
      <c r="A61" s="18">
        <v>45838</v>
      </c>
      <c r="B61" s="18" t="s">
        <v>56</v>
      </c>
      <c r="C61" s="27">
        <f>1433</f>
        <v>1433</v>
      </c>
      <c r="D61" t="s">
        <v>114</v>
      </c>
      <c r="E61" s="19" t="s">
        <v>309</v>
      </c>
      <c r="G61" s="18"/>
    </row>
    <row r="62" spans="1:7" x14ac:dyDescent="0.4">
      <c r="A62" s="18">
        <v>45838</v>
      </c>
      <c r="B62" s="18" t="s">
        <v>56</v>
      </c>
      <c r="C62" s="27">
        <v>840</v>
      </c>
      <c r="D62" t="s">
        <v>114</v>
      </c>
      <c r="E62" s="19" t="s">
        <v>368</v>
      </c>
      <c r="G62" s="18"/>
    </row>
    <row r="63" spans="1:7" x14ac:dyDescent="0.4">
      <c r="A63" s="18">
        <v>45838</v>
      </c>
      <c r="B63" s="18" t="s">
        <v>56</v>
      </c>
      <c r="C63" s="27">
        <v>10860</v>
      </c>
      <c r="D63" t="s">
        <v>252</v>
      </c>
      <c r="E63" s="19" t="s">
        <v>326</v>
      </c>
      <c r="G63" s="18"/>
    </row>
    <row r="64" spans="1:7" x14ac:dyDescent="0.4">
      <c r="A64" s="18">
        <v>45838</v>
      </c>
      <c r="B64" s="18" t="s">
        <v>56</v>
      </c>
      <c r="C64" s="27">
        <v>9099</v>
      </c>
      <c r="D64" t="s">
        <v>291</v>
      </c>
      <c r="E64" s="19" t="s">
        <v>288</v>
      </c>
      <c r="G64" s="18"/>
    </row>
    <row r="65" spans="1:5" x14ac:dyDescent="0.4">
      <c r="A65" s="18">
        <v>45838</v>
      </c>
      <c r="B65" s="18" t="s">
        <v>56</v>
      </c>
      <c r="C65" s="27">
        <v>1434</v>
      </c>
      <c r="D65" t="s">
        <v>291</v>
      </c>
      <c r="E65" s="19" t="s">
        <v>289</v>
      </c>
    </row>
    <row r="66" spans="1:5" x14ac:dyDescent="0.4">
      <c r="A66" s="18">
        <v>45838</v>
      </c>
      <c r="B66" s="18" t="s">
        <v>56</v>
      </c>
      <c r="C66" s="27">
        <v>9471</v>
      </c>
      <c r="D66" t="s">
        <v>291</v>
      </c>
      <c r="E66" s="19" t="s">
        <v>290</v>
      </c>
    </row>
    <row r="67" spans="1:5" x14ac:dyDescent="0.4">
      <c r="A67" s="18"/>
      <c r="B67" s="18"/>
    </row>
    <row r="68" spans="1:5" x14ac:dyDescent="0.4">
      <c r="A68" s="18"/>
      <c r="B68" s="18"/>
    </row>
    <row r="69" spans="1:5" x14ac:dyDescent="0.4">
      <c r="A69" s="18"/>
      <c r="B69" s="18"/>
    </row>
    <row r="70" spans="1:5" x14ac:dyDescent="0.4">
      <c r="A70" s="18"/>
      <c r="B70" s="18"/>
    </row>
    <row r="71" spans="1:5" x14ac:dyDescent="0.4">
      <c r="A71" s="18"/>
      <c r="B71" s="18"/>
    </row>
    <row r="72" spans="1:5" x14ac:dyDescent="0.4">
      <c r="A72" s="18"/>
      <c r="B72" s="18"/>
    </row>
    <row r="73" spans="1:5" x14ac:dyDescent="0.4">
      <c r="A73" s="18"/>
      <c r="B73" s="18"/>
    </row>
    <row r="74" spans="1:5" x14ac:dyDescent="0.4">
      <c r="A74" s="18"/>
      <c r="B74" s="18"/>
    </row>
    <row r="75" spans="1:5" x14ac:dyDescent="0.4">
      <c r="A75" s="18"/>
      <c r="B75" s="18"/>
    </row>
    <row r="76" spans="1:5" x14ac:dyDescent="0.4">
      <c r="A76" s="18"/>
      <c r="B76" s="18"/>
    </row>
    <row r="77" spans="1:5" x14ac:dyDescent="0.4">
      <c r="A77" s="18"/>
      <c r="B77" s="18"/>
    </row>
    <row r="78" spans="1:5" x14ac:dyDescent="0.4">
      <c r="A78" s="18"/>
      <c r="B78" s="18"/>
    </row>
    <row r="80" spans="1:5" x14ac:dyDescent="0.4">
      <c r="A80" s="18"/>
      <c r="B80" s="18"/>
    </row>
  </sheetData>
  <autoFilter ref="A2:E78" xr:uid="{92233EA2-7185-409A-8229-F7A2540E705F}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生涯計画</vt:lpstr>
      <vt:lpstr>年間予定</vt:lpstr>
      <vt:lpstr>2025年予実</vt:lpstr>
      <vt:lpstr>消費01</vt:lpstr>
      <vt:lpstr>消費02</vt:lpstr>
      <vt:lpstr>消費03</vt:lpstr>
      <vt:lpstr>消費04</vt:lpstr>
      <vt:lpstr>消費05</vt:lpstr>
      <vt:lpstr>消費06</vt:lpstr>
      <vt:lpstr>消費07</vt:lpstr>
      <vt:lpstr>消費08</vt:lpstr>
      <vt:lpstr>消費09</vt:lpstr>
      <vt:lpstr>消費10</vt:lpstr>
      <vt:lpstr>消費11</vt:lpstr>
      <vt:lpstr>消費12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2025-08-10T22:45:52Z</dcterms:created>
  <dcterms:modified xsi:type="dcterms:W3CDTF">2025-09-12T22:16:09Z</dcterms:modified>
</cp:coreProperties>
</file>